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6"/>
  </bookViews>
  <sheets>
    <sheet name="B.Patr." sheetId="1" r:id="rId1"/>
    <sheet name="Demres." sheetId="2" r:id="rId2"/>
    <sheet name="Origens" sheetId="3" r:id="rId3"/>
    <sheet name="Mutações" sheetId="4" r:id="rId4"/>
    <sheet name="Demexp." sheetId="5" r:id="rId5"/>
    <sheet name="Imobil." sheetId="6" r:id="rId6"/>
    <sheet name="Deretrim" sheetId="7" r:id="rId7"/>
  </sheets>
  <definedNames>
    <definedName name="_xlnm.Print_Area" localSheetId="0">'B.Patr.'!$A$1:$L$65</definedName>
    <definedName name="_xlnm.Print_Area" localSheetId="6">'Deretrim'!$A$1:$F$49</definedName>
  </definedNames>
  <calcPr fullCalcOnLoad="1"/>
</workbook>
</file>

<file path=xl/sharedStrings.xml><?xml version="1.0" encoding="utf-8"?>
<sst xmlns="http://schemas.openxmlformats.org/spreadsheetml/2006/main" count="319" uniqueCount="231">
  <si>
    <t xml:space="preserve">      Empréstimos e Financiamento.. .. .. .. .. .</t>
  </si>
  <si>
    <t>A  T  I  V  O</t>
  </si>
  <si>
    <t>P  A  S  S  I  V  O</t>
  </si>
  <si>
    <t xml:space="preserve">             Pela Legislação Societária</t>
  </si>
  <si>
    <t>CIRCULANTE</t>
  </si>
  <si>
    <t xml:space="preserve">      Contas a Pagar .. .. .. .. .. .. .. .. .. .. .. .. .</t>
  </si>
  <si>
    <t xml:space="preserve">      Financiamento. .. .. .. .. .. .. .. .. .. .. .. .. ..</t>
  </si>
  <si>
    <t xml:space="preserve">      Títulos de Liquidez Imediata .. .. .. .. .. .. </t>
  </si>
  <si>
    <t xml:space="preserve">      Folhas a Pagar .. .. .. .. .. .. .. .. .. .. .. .. ..</t>
  </si>
  <si>
    <t xml:space="preserve">      Fornecedores.. .. .. .. .. .. .. .. .. .. .. .. .. ..</t>
  </si>
  <si>
    <t xml:space="preserve">      Contrib. Sociais a Recolher.. .. .. .. .. .. ..</t>
  </si>
  <si>
    <t xml:space="preserve">      Contas a Receber - Usuários .. .. .. .. .. ..</t>
  </si>
  <si>
    <t xml:space="preserve">      Impostos e Taxas a Recolher .. .. .. .. .. ..</t>
  </si>
  <si>
    <t xml:space="preserve">      Adiantamentos .. .. .. .. .. .. .. .. .. .. .. .. ..</t>
  </si>
  <si>
    <t xml:space="preserve">      Arrec. por Conta de Terceiros. .. .. .. .. .</t>
  </si>
  <si>
    <t xml:space="preserve">      Outros Valores a Receber  .. .. .. .. .. .. ..</t>
  </si>
  <si>
    <t xml:space="preserve">      Dividendos a Pagar.. .. .. .. .. .. .. .. .. .. ..</t>
  </si>
  <si>
    <t xml:space="preserve">      Faturamento Taxas Portuárias. .. .. .. .. ..</t>
  </si>
  <si>
    <t xml:space="preserve">      Depósito de Garantia c/Usuários .. .. .. ..</t>
  </si>
  <si>
    <t>EXIGÍVEL A LONGO PRAZO</t>
  </si>
  <si>
    <t xml:space="preserve">      Almoxarifado.. .. .. .. .. .. .. .. .. .. .. .. .. ..</t>
  </si>
  <si>
    <t xml:space="preserve">      Fornecedores .. .. .. .. .. .. .. .. .. .. .. .. .. </t>
  </si>
  <si>
    <t>REALIZÁVEIS A LONGO PRAZO</t>
  </si>
  <si>
    <t xml:space="preserve">      Cont. Sociais a Recolher/Parc. .. .. .. .. ..</t>
  </si>
  <si>
    <t xml:space="preserve">      Remuneração dos Recursos do FPN .. ..</t>
  </si>
  <si>
    <t xml:space="preserve">      Adiantamento para Compra de Ativo.. ..</t>
  </si>
  <si>
    <t xml:space="preserve">      Crédito Trib. em Compensação. .. .. .. ..</t>
  </si>
  <si>
    <t>RESULTADOS DE EXERC. FUTUROS</t>
  </si>
  <si>
    <t xml:space="preserve">      Receitas de Exercícios Futuros .. .. .. .. ..</t>
  </si>
  <si>
    <t>PERMANENTE</t>
  </si>
  <si>
    <t>PATRIMÔNIO LÍQUIDO</t>
  </si>
  <si>
    <t xml:space="preserve">      Partic. Coligadas e Controladas. .. .. .. ..</t>
  </si>
  <si>
    <t xml:space="preserve">      Outras Participações .. .. .. .. .. .. .. .. .. ..</t>
  </si>
  <si>
    <t xml:space="preserve">      Correc. Monetária do Capital.. .. .. .. .. ..</t>
  </si>
  <si>
    <t xml:space="preserve">      Capital Realizado Atualizado .. .. .. .. .. ..</t>
  </si>
  <si>
    <t xml:space="preserve">      Reservas de Capital.. .. .. .. .. .. .. .. .. .. .</t>
  </si>
  <si>
    <t xml:space="preserve">      Capitais de Concessão .. .. .. .. .. .. .. .. ..</t>
  </si>
  <si>
    <t xml:space="preserve">      Reserva de Reavaliação.. .. .. .. .. .. .. .. .</t>
  </si>
  <si>
    <t xml:space="preserve">      Fundo de Amortização .. .. .. .. .. .. .. .. ..</t>
  </si>
  <si>
    <t xml:space="preserve">      Reserva de Lucros. .. .. .. .. .. .. .. .. .. .. .</t>
  </si>
  <si>
    <t xml:space="preserve">      Lucros ou Prejuízos Acumulados. .. .. .. .</t>
  </si>
  <si>
    <t xml:space="preserve">      Bens da Empresa.. .. .. .. .. .. .. .. .. .. .. ..</t>
  </si>
  <si>
    <t xml:space="preserve">      Depreciações/Amortizações Acumuladas</t>
  </si>
  <si>
    <t xml:space="preserve">                 DEMONSTRAÇÃO DA EXPLORAÇÃO PORTUÁRIA NOS EXERCÍCIOS</t>
  </si>
  <si>
    <t>RENDA DOS SERVIÇOS PORTUÁRIOS</t>
  </si>
  <si>
    <t>CUSTEIO DOS SERVIÇOS PORTUÁRIOS</t>
  </si>
  <si>
    <t xml:space="preserve">      REMUNERAÇÃO DOS INVESTIMENTOS</t>
  </si>
  <si>
    <t>RESULTADO DO PERÍODO</t>
  </si>
  <si>
    <t xml:space="preserve">  DEMONSTRAÇÃO DAS ORIGENS E APLICAÇÕES DE RECURSOS DOS EXERCÍCIOS</t>
  </si>
  <si>
    <t xml:space="preserve">                   Pela Legislação Societária</t>
  </si>
  <si>
    <t>ORIGENS DOS RECURSOS DAS OPERAÇÕES:</t>
  </si>
  <si>
    <t xml:space="preserve">LUCRO LÍQ. (PREJUÍZO) DO EXERCÍCIO.. .. .. .. .. .. .. </t>
  </si>
  <si>
    <t>DESPESAS (REC.) QUE NÃO AFETAM CAP. CIRC.</t>
  </si>
  <si>
    <t xml:space="preserve">     DEPRECIAÇÃO/AMORTIZAÇÃO.. .. .. .. .. .. .. .. .. .</t>
  </si>
  <si>
    <t xml:space="preserve">     EQUIVALÊNCIA PATRIMONIAL.. .. .. .. .. .. .. .. .. ..</t>
  </si>
  <si>
    <t>DE TERCEIROS:</t>
  </si>
  <si>
    <t xml:space="preserve">     ALIEN/BAIXA DIR. ATIVO IMOBILIZADO.. .. .. ..</t>
  </si>
  <si>
    <t>TOTAL DAS ORIGENS.. .. .. .. .. .. .. .. .. .. .. .. .. .. .. .. .. .</t>
  </si>
  <si>
    <t xml:space="preserve">     AUMENTO DO REALIZÁVEL A LONGO PRAZO..</t>
  </si>
  <si>
    <t xml:space="preserve">     ADIÇÕES AO IMOBILIZADO.. .. .. .. .. .. .. .. .. .. .. .. .</t>
  </si>
  <si>
    <t>TOTAL DAS APLICAÇÕES.. .. .. .. .. .. .. .. .. .. .. .. .. .. ..</t>
  </si>
  <si>
    <t>AUMENTO (REDUÇÃO) CAP. CIRC. LIQ.  .. .. .. .. .. ..</t>
  </si>
  <si>
    <t>VARIAÇÕES DO CAPITAL CIRCULANTE</t>
  </si>
  <si>
    <t>ATIVO CIRCULANTE:</t>
  </si>
  <si>
    <t xml:space="preserve">     NO INÍCIO DO EXERCÍCIO .. .. .. .. .. .. .. .. .. .. .. .. .. ..</t>
  </si>
  <si>
    <t xml:space="preserve">     NO FIM DO EXERCÍCIO.. .. .. .. .. .. .. .. .. .. .. .. .. .. .. ..</t>
  </si>
  <si>
    <t>PASSIVO CIRCULANTE:</t>
  </si>
  <si>
    <t xml:space="preserve">                               DEMONSTRAÇÃO DO RESULTADO DOS EXERCÍCIOS</t>
  </si>
  <si>
    <t>RECEITA BRUTA DAS VENDAS E SERVIÇOS</t>
  </si>
  <si>
    <t>RECEITA LÍQUIDA DAS VENDAS E SERVIÇOS</t>
  </si>
  <si>
    <t xml:space="preserve">     CUSTO DOS PRODUTOS VENDIDOS.. .. .. .. .. .. .. .. .</t>
  </si>
  <si>
    <t xml:space="preserve">     LUCRO BRUTO.. .. .. .. .. .. .. .. .. .. .. .. .. .. .. .. .. .. .. .. .. .</t>
  </si>
  <si>
    <t xml:space="preserve">     DESPESAS OPERACIONAIS.. .. .. .. .. .. .. .. .. .. .. .. .. ..</t>
  </si>
  <si>
    <t xml:space="preserve">          Gerais e Administrativas .. .. .. .. .. .. .. .. ..</t>
  </si>
  <si>
    <t xml:space="preserve">          Encargos Financeiros .. .. .. .. .. .. .. .. .. .. </t>
  </si>
  <si>
    <t xml:space="preserve">          Contribuição Social s/Lucro. .. .. .. .. .. .. .</t>
  </si>
  <si>
    <t xml:space="preserve">     RES. EQUIVALÊNCIA PATRIMONIAL</t>
  </si>
  <si>
    <t xml:space="preserve">     RECEITAS FINANCEIRAS.. .. .. .. .. .. .. .. .. .. .. .. .. .. ..</t>
  </si>
  <si>
    <t xml:space="preserve">     LUCRO OPERACIONAL.. .. .. .. .. .. .. .. .. .. .. .. .. .. .. .. .</t>
  </si>
  <si>
    <t xml:space="preserve">     RECEITAS NÃO OPERACIONAIS.. .. .. .. .. .. .. .. .. .. .</t>
  </si>
  <si>
    <t xml:space="preserve">     DESPESAS NÃO OPERACIONAIS. .. .. .. .. .. .. .. .. .. ..</t>
  </si>
  <si>
    <t xml:space="preserve">     LUCRO ANTES DO IMPOSTO DE RENDA. .. .. .. .. ..</t>
  </si>
  <si>
    <t xml:space="preserve">     PROVISÃO PARA IMPOSTO DE RENDA.. .. .. .. .. .. </t>
  </si>
  <si>
    <t xml:space="preserve">     PARTICIPAÇÕES</t>
  </si>
  <si>
    <t xml:space="preserve">            Administradores.. .. .. .. .. .. .. .. .. .. .. .. .</t>
  </si>
  <si>
    <t xml:space="preserve">     LUCRO LÍQUIDO DO EXERCÍCIO.. .. .. .. .. .. .. .. .. .. ..</t>
  </si>
  <si>
    <t xml:space="preserve">     LUCRO (PREJUÍZO) POR AÇÃO (R$).. .. .. .. .. .. .. .. ..</t>
  </si>
  <si>
    <t xml:space="preserve">    IMOBILIZAÇÕES DO PORTO DE IMBITUBA SOB CONCESSÃO NOS EXERCÍCIOS</t>
  </si>
  <si>
    <t>A T I V O</t>
  </si>
  <si>
    <t xml:space="preserve">    ATIVO FINANCEIRO</t>
  </si>
  <si>
    <t xml:space="preserve">        APLICAÇÃO DO FUNDO DE DEPRECIAÇÃO</t>
  </si>
  <si>
    <t xml:space="preserve">    ATIVO PERMANENTE</t>
  </si>
  <si>
    <t xml:space="preserve">        BENS MÓVEIS E IMÓVEIS</t>
  </si>
  <si>
    <t xml:space="preserve">             INVERSÕES DA UNIÃO</t>
  </si>
  <si>
    <t xml:space="preserve">             INVERSÕES DA CONCESSIONÁRIA</t>
  </si>
  <si>
    <t>P A S S I V O</t>
  </si>
  <si>
    <t xml:space="preserve">    PASSIVO FINANCEIRO</t>
  </si>
  <si>
    <t xml:space="preserve">        CRÉDITOS DA CONCESSIONÁRIA</t>
  </si>
  <si>
    <t xml:space="preserve">             POR INVERSÕES DO PORTO</t>
  </si>
  <si>
    <t xml:space="preserve">             DE RESULTADOS A COMPENSAR</t>
  </si>
  <si>
    <t xml:space="preserve">        SALDO PATRIMONIAL</t>
  </si>
  <si>
    <t xml:space="preserve">                                                          DEMONSTRAÇÃO DAS MUTAÇÕES DO PATRIMÔNIO LÍQUIDO DOS  EXERCÍCIOS</t>
  </si>
  <si>
    <t>Pela Legislação Societária</t>
  </si>
  <si>
    <t>Capital Realizado Atualizado</t>
  </si>
  <si>
    <t>Ações</t>
  </si>
  <si>
    <t>Reservas de</t>
  </si>
  <si>
    <t xml:space="preserve">em </t>
  </si>
  <si>
    <t>Cor. Monet.</t>
  </si>
  <si>
    <t>Capital e Incent.</t>
  </si>
  <si>
    <t>Reserva de</t>
  </si>
  <si>
    <t>Tesou-</t>
  </si>
  <si>
    <t>Reserva</t>
  </si>
  <si>
    <t>Capital Social</t>
  </si>
  <si>
    <t>do Capital</t>
  </si>
  <si>
    <t>Fiscais</t>
  </si>
  <si>
    <t>Reavaliação</t>
  </si>
  <si>
    <t>raria.</t>
  </si>
  <si>
    <t>Legal</t>
  </si>
  <si>
    <t>Acumulados</t>
  </si>
  <si>
    <t>T O T A L</t>
  </si>
  <si>
    <t>AUMENTO  CAPITAL  -  AGO.</t>
  </si>
  <si>
    <t>LUCRO   LIQUIDO  EXERCÍCIO</t>
  </si>
  <si>
    <t>DISTRIB. PROPOSTA AGO</t>
  </si>
  <si>
    <t>DIVID. (R$ 0,00 POR AÇÃO)</t>
  </si>
  <si>
    <t xml:space="preserve">     REMUNERAÇÃO S/ CAPITAIS DE CONCESSÃO..</t>
  </si>
  <si>
    <t xml:space="preserve">     BAIXA RESERVA REAVALIAÇÃO</t>
  </si>
  <si>
    <t xml:space="preserve"> </t>
  </si>
  <si>
    <t>GERALDO LUIZ MIRANDA</t>
  </si>
  <si>
    <t>Contador CRC/SC 14511</t>
  </si>
  <si>
    <t xml:space="preserve">      Capital Social . .. .. .. .. .. .. .. .. .. .. .. .. ..</t>
  </si>
  <si>
    <t xml:space="preserve">             PASSIVO REAL LÍQUIDO</t>
  </si>
  <si>
    <t xml:space="preserve">      Caixa/Bancos c/Movimento .. .. .. .. .. ...</t>
  </si>
  <si>
    <t xml:space="preserve">      Imps e Contribs a Compensar e Recup. .</t>
  </si>
  <si>
    <t xml:space="preserve">                   GERALDO LUIZ MIRANDA</t>
  </si>
  <si>
    <t xml:space="preserve">                         Contador CRC/SC 14511</t>
  </si>
  <si>
    <t xml:space="preserve">                        Contador CRC/SC 14511</t>
  </si>
  <si>
    <t xml:space="preserve">  GERALDO LUIZ MIRANDA</t>
  </si>
  <si>
    <t xml:space="preserve">        Contador CRC/SC  14511 </t>
  </si>
  <si>
    <t xml:space="preserve">       Contador CRC/SC  14511</t>
  </si>
  <si>
    <t xml:space="preserve">     AUM/RED.  DO EXIGÍVEL A LONGO PRAZO.. .. .. </t>
  </si>
  <si>
    <t>DOS ACIONISTAS:</t>
  </si>
  <si>
    <t xml:space="preserve">     AUMENTO DE CAPITAL</t>
  </si>
  <si>
    <t xml:space="preserve">                 GERALDO LUIZ MIRANDA</t>
  </si>
  <si>
    <t xml:space="preserve">                      Contador CRC/SC 14511</t>
  </si>
  <si>
    <t xml:space="preserve">                                     JOSÉ MANOEL JOAQUIM</t>
  </si>
  <si>
    <t>CONSOLIDADO</t>
  </si>
  <si>
    <t xml:space="preserve">      Prêmios de Seguros  .. .. .. .. .. .. .. .. .. ..</t>
  </si>
  <si>
    <t xml:space="preserve">      Resultados a Compensar.. .. .. .. .. .. .. .. </t>
  </si>
  <si>
    <t xml:space="preserve">      Depósitos Judiciais.. .. .. .. .. .. .. .. .. .. .. </t>
  </si>
  <si>
    <t xml:space="preserve">      Bens em Processo de Incorporação. .. .. </t>
  </si>
  <si>
    <t xml:space="preserve">      Despesas Custos a Apropriar.. .. .. .. .. ..</t>
  </si>
  <si>
    <t xml:space="preserve">      Adiantamento p/Compra de Ativo. .. .. ..</t>
  </si>
  <si>
    <t xml:space="preserve">      Contas a Receber de Usuários .. .. .. .. ..</t>
  </si>
  <si>
    <t xml:space="preserve">      Crédito Liquidação Duvidosa . .. .. .. .. ..</t>
  </si>
  <si>
    <t xml:space="preserve">      Outros Créditos .. .. .. .. .. .. .. .. .. .. .. ..</t>
  </si>
  <si>
    <t xml:space="preserve">      Depósitos Judiciais e Contratuais. .. .. .. .</t>
  </si>
  <si>
    <t>Consolidado</t>
  </si>
  <si>
    <t xml:space="preserve">      TARIFA PORTUÁRIA.. .. .. .. .. .. .. .. .. .. .. .. .. .. .. .. .. .. ..</t>
  </si>
  <si>
    <t xml:space="preserve">      EXTRA TARIFÁRIA.. .. .. .. .. .. .. .. .. .. .. .. .. .. .. .. .. .. .. ..</t>
  </si>
  <si>
    <t xml:space="preserve">      DESPESAS DE EXPLORAÇÃO.. .. .. .. .. .. .. .. .. .. .. .. .. .. </t>
  </si>
  <si>
    <t xml:space="preserve">      QUOTA DE AMORTIZAÇÃO .. .. .. .. .. .. .. .. .. .. .. .. .. ..</t>
  </si>
  <si>
    <t xml:space="preserve">          DO CAPITAL DE CONCESSÃO. .. .. .. .. .. .. .. .. .. .. .. .</t>
  </si>
  <si>
    <t xml:space="preserve">          DOS RECURSOS DO F.P.N. .. .. .. .. .. .. .. .. .. .. .. .. .. .. .</t>
  </si>
  <si>
    <t>RESULTADO A COMPENSAR NO PERÍODO.. .. .. .. .. .. .. .</t>
  </si>
  <si>
    <t>RESULTADO A COMPENSAR ANTERIOR.. .. .. .. .. .. .. .. ..</t>
  </si>
  <si>
    <t xml:space="preserve">RESULTADO A COMPENSAR ATUAL. .. .. .. .. .. .. .. .. .. .. </t>
  </si>
  <si>
    <t>APLICAÇÃO DOS RECURSOS</t>
  </si>
  <si>
    <t>Prejuízos</t>
  </si>
  <si>
    <t xml:space="preserve">     OUTRAS RECEITAS OPERACIONAIS</t>
  </si>
  <si>
    <t xml:space="preserve">     REVER. PROV. S/MÚTUO CONTROL. .. .. .. .. .. .. .. .. .</t>
  </si>
  <si>
    <t xml:space="preserve">Pág.: nº </t>
  </si>
  <si>
    <t xml:space="preserve">AJUSTES  EX. ANTERIORES.. .. .. .. .. .. .. .. .. .. .. .. .. .. .. .. .. </t>
  </si>
  <si>
    <t>AUMENTO (REDUÇÃO) CAP. CIRC. LIQ.  .. .. .. .. .. .. .</t>
  </si>
  <si>
    <r>
      <t xml:space="preserve">       </t>
    </r>
    <r>
      <rPr>
        <b/>
        <u val="single"/>
        <sz val="10"/>
        <rFont val="Times New Roman"/>
        <family val="1"/>
      </rPr>
      <t>COMPANHIA DOCAS DE IMBITUBA       -       IMBITUBA       -       SANTA CATARINA</t>
    </r>
  </si>
  <si>
    <r>
      <t xml:space="preserve">   </t>
    </r>
    <r>
      <rPr>
        <b/>
        <i/>
        <sz val="10"/>
        <rFont val="Times New Roman"/>
        <family val="1"/>
      </rPr>
      <t>NILTON GARCIA DE ARAÚJO</t>
    </r>
    <r>
      <rPr>
        <sz val="10"/>
        <rFont val="Times New Roman"/>
        <family val="1"/>
      </rPr>
      <t xml:space="preserve">                                   </t>
    </r>
  </si>
  <si>
    <r>
      <t xml:space="preserve">           </t>
    </r>
    <r>
      <rPr>
        <b/>
        <sz val="10"/>
        <rFont val="Times New Roman"/>
        <family val="1"/>
      </rPr>
      <t>Diretor - Presidente  e Rel. c/ Investidores</t>
    </r>
  </si>
  <si>
    <r>
      <t xml:space="preserve">                     </t>
    </r>
    <r>
      <rPr>
        <b/>
        <sz val="10"/>
        <rFont val="Times New Roman"/>
        <family val="1"/>
      </rPr>
      <t xml:space="preserve">Diretor </t>
    </r>
  </si>
  <si>
    <r>
      <t xml:space="preserve">                                                                 </t>
    </r>
    <r>
      <rPr>
        <b/>
        <u val="single"/>
        <sz val="10"/>
        <rFont val="Times New Roman"/>
        <family val="1"/>
      </rPr>
      <t>COMPANHIA       ABERTA</t>
    </r>
  </si>
  <si>
    <r>
      <t xml:space="preserve">  </t>
    </r>
    <r>
      <rPr>
        <b/>
        <u val="single"/>
        <sz val="10"/>
        <rFont val="Times New Roman"/>
        <family val="1"/>
      </rPr>
      <t>COMPANHIA DOCAS DE IMBITUBA       -       IMBITUBA       -       SANTA CATARINA</t>
    </r>
  </si>
  <si>
    <r>
      <t xml:space="preserve">         </t>
    </r>
    <r>
      <rPr>
        <b/>
        <u val="single"/>
        <sz val="10"/>
        <rFont val="Times New Roman"/>
        <family val="1"/>
      </rPr>
      <t>COMPANHIA       ABERTA</t>
    </r>
  </si>
  <si>
    <r>
      <t xml:space="preserve">                                                          </t>
    </r>
    <r>
      <rPr>
        <b/>
        <u val="doubleAccounting"/>
        <sz val="10"/>
        <rFont val="Times New Roman"/>
        <family val="1"/>
      </rPr>
      <t xml:space="preserve">                     </t>
    </r>
  </si>
  <si>
    <r>
      <t xml:space="preserve">    </t>
    </r>
    <r>
      <rPr>
        <b/>
        <u val="single"/>
        <sz val="10"/>
        <rFont val="Times New Roman"/>
        <family val="1"/>
      </rPr>
      <t>COMPANHIA DOCAS DE IMBITUBA    -    IMBITUBA    -    SANTA CATARINA</t>
    </r>
  </si>
  <si>
    <r>
      <t xml:space="preserve">             </t>
    </r>
    <r>
      <rPr>
        <b/>
        <u val="single"/>
        <sz val="10"/>
        <rFont val="Times New Roman"/>
        <family val="1"/>
      </rPr>
      <t xml:space="preserve">COMPANHIA       ABERTA   </t>
    </r>
  </si>
  <si>
    <r>
      <t xml:space="preserve">    </t>
    </r>
    <r>
      <rPr>
        <b/>
        <u val="single"/>
        <sz val="10"/>
        <rFont val="Times New Roman"/>
        <family val="1"/>
      </rPr>
      <t>DISPONÍVEL</t>
    </r>
  </si>
  <si>
    <r>
      <t xml:space="preserve">   </t>
    </r>
    <r>
      <rPr>
        <b/>
        <u val="single"/>
        <sz val="10"/>
        <rFont val="Times New Roman"/>
        <family val="1"/>
      </rPr>
      <t>VALORES A RECEBER</t>
    </r>
  </si>
  <si>
    <r>
      <t xml:space="preserve">   </t>
    </r>
    <r>
      <rPr>
        <b/>
        <u val="single"/>
        <sz val="10"/>
        <rFont val="Times New Roman"/>
        <family val="1"/>
      </rPr>
      <t>ESTOQUE</t>
    </r>
  </si>
  <si>
    <r>
      <t xml:space="preserve">   </t>
    </r>
    <r>
      <rPr>
        <b/>
        <u val="single"/>
        <sz val="10"/>
        <rFont val="Times New Roman"/>
        <family val="1"/>
      </rPr>
      <t>DESP. AP. A CUSTO EXERC. SGTE</t>
    </r>
  </si>
  <si>
    <r>
      <t xml:space="preserve">   </t>
    </r>
    <r>
      <rPr>
        <b/>
        <u val="single"/>
        <sz val="10"/>
        <rFont val="Times New Roman"/>
        <family val="1"/>
      </rPr>
      <t>INVESTIMENTOS</t>
    </r>
  </si>
  <si>
    <r>
      <t xml:space="preserve">   </t>
    </r>
    <r>
      <rPr>
        <b/>
        <u val="single"/>
        <sz val="10"/>
        <rFont val="Times New Roman"/>
        <family val="1"/>
      </rPr>
      <t>IMOBILIZADO</t>
    </r>
  </si>
  <si>
    <r>
      <t xml:space="preserve"> </t>
    </r>
    <r>
      <rPr>
        <b/>
        <i/>
        <sz val="10"/>
        <rFont val="Times New Roman"/>
        <family val="1"/>
      </rPr>
      <t>T O T A L   D O   P A S S I V O</t>
    </r>
  </si>
  <si>
    <r>
      <t xml:space="preserve"> </t>
    </r>
    <r>
      <rPr>
        <b/>
        <i/>
        <sz val="10"/>
        <rFont val="Times New Roman"/>
        <family val="1"/>
      </rPr>
      <t>T O T A L   D O   A T I V O</t>
    </r>
  </si>
  <si>
    <t>GLOSAS EM LITÍGIO.. .. .. .. .. .. .. .. .. .. .. .. .. .. .. .. .. .. .. .. .. .</t>
  </si>
  <si>
    <t xml:space="preserve">     PROVISÃO GLOSAS EM LITÍGIO</t>
  </si>
  <si>
    <t xml:space="preserve">      Parcelamento Especial INSS .. .. .. .. .. ..</t>
  </si>
  <si>
    <t>SALDOS EM 31/12/04</t>
  </si>
  <si>
    <t xml:space="preserve">      Passivos Contingentes.. .. .. .. .. .. .. .. .. .</t>
  </si>
  <si>
    <t>SALDOS EM 31/12/05</t>
  </si>
  <si>
    <t xml:space="preserve">GLOSAS EXERCÍCiOS  ANTERIORES.. .. .. .. .. .. .. .. .. .. .. .. </t>
  </si>
  <si>
    <t xml:space="preserve">     RECUPERAÇÃO DESPESAS.. .. .. .. .. .. .. .. .. .. .. .. .. .. </t>
  </si>
  <si>
    <t xml:space="preserve">     VARIAÇÃO RESULT. EXERC. FUTUROS.. .. .. .. .. .. .</t>
  </si>
  <si>
    <t xml:space="preserve">     BAIXA INVESTIMENTOS.. .. .. .. .. .. .. .. .. .. .. .. .. .. .. </t>
  </si>
  <si>
    <t xml:space="preserve">             BALANÇOS PATRIMONIAIS EM 31 DE DEZEMBRO DE 2006 E DE 2005.</t>
  </si>
  <si>
    <t xml:space="preserve">                                                   Imbituba, 31 de dezembro de 2006.</t>
  </si>
  <si>
    <t xml:space="preserve">                                                    Imbituba, 31 de dezembro de 2006.</t>
  </si>
  <si>
    <t xml:space="preserve">                                    FINDOS EM 31 DE DEZEMBRO DE  2006 E DE 2005.</t>
  </si>
  <si>
    <r>
      <t xml:space="preserve">                                                                 </t>
    </r>
    <r>
      <rPr>
        <b/>
        <sz val="10"/>
        <rFont val="Times New Roman"/>
        <family val="1"/>
      </rPr>
      <t>Imbituba, 31 de Dezembro de 2006.</t>
    </r>
  </si>
  <si>
    <t xml:space="preserve">                                    FINDOS EM 31 DE DEZEMBRO DE  2006 e de 2005.</t>
  </si>
  <si>
    <t xml:space="preserve">                                     FINDOS EM 31 DE DEZEMBRO DE 2006 E DE 2005.</t>
  </si>
  <si>
    <r>
      <t xml:space="preserve">                                                                              </t>
    </r>
    <r>
      <rPr>
        <b/>
        <sz val="12"/>
        <rFont val="Times New Roman"/>
        <family val="1"/>
      </rPr>
      <t>Imbituba, 31 de Dezembro de 2006.</t>
    </r>
  </si>
  <si>
    <r>
      <t xml:space="preserve">                                                               </t>
    </r>
    <r>
      <rPr>
        <b/>
        <sz val="10"/>
        <rFont val="Times New Roman"/>
        <family val="1"/>
      </rPr>
      <t>Imbituba, 31 de Dezembro de 2006.</t>
    </r>
  </si>
  <si>
    <t xml:space="preserve">                               DEMONSTRAÇÃO DO RESULTADO DO IV TRIMESTRE 2006</t>
  </si>
  <si>
    <t>NÃO CIRCULANTE</t>
  </si>
  <si>
    <t xml:space="preserve">     GLOSAS DA UNIÃO </t>
  </si>
  <si>
    <t xml:space="preserve">      Crédito com Terceiros .. .. .. .. .. .. .. .. ..</t>
  </si>
  <si>
    <t xml:space="preserve">      Glosas em Litígio.. .. .. .. .. .. .. .. .. .. .. ..</t>
  </si>
  <si>
    <t>RECUPERAÇÃO DESPESAS</t>
  </si>
  <si>
    <t xml:space="preserve">                                    FINDOS EM 31 DE DEZEMBRO DE  2006.</t>
  </si>
  <si>
    <t xml:space="preserve">     GLOSAS DA UNIÃO</t>
  </si>
  <si>
    <t>SALDOS EM 31/12/06</t>
  </si>
  <si>
    <t xml:space="preserve">              Pela Legislação Societária</t>
  </si>
  <si>
    <t xml:space="preserve">    CONTRIBUIÇÃO SOCIAL S/O LUCRO ..</t>
  </si>
  <si>
    <t>Livro nº 270</t>
  </si>
  <si>
    <t>Pág. N° 409</t>
  </si>
  <si>
    <t>Pág. N° 410</t>
  </si>
  <si>
    <t>Pág. N° 411</t>
  </si>
  <si>
    <t>Pág. N° 412</t>
  </si>
  <si>
    <t>Pág. N° 413</t>
  </si>
  <si>
    <t>Pág. N° 414</t>
  </si>
  <si>
    <t>Pág. N° 415</t>
  </si>
  <si>
    <t>Pág. N° 416</t>
  </si>
  <si>
    <r>
      <t xml:space="preserve">    </t>
    </r>
    <r>
      <rPr>
        <b/>
        <sz val="10"/>
        <rFont val="Times New Roman"/>
        <family val="1"/>
      </rPr>
      <t xml:space="preserve">Diretor </t>
    </r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</si>
</sst>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0.000000"/>
    <numFmt numFmtId="186" formatCode="0.00000"/>
    <numFmt numFmtId="187" formatCode="0.0000"/>
    <numFmt numFmtId="188" formatCode="0.000"/>
    <numFmt numFmtId="189" formatCode="mmm\-yy"/>
    <numFmt numFmtId="190" formatCode="#,##0.0_);\(#,##0.0\)"/>
    <numFmt numFmtId="191" formatCode="#,##0.0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doubleAccounting"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doubleAccounting"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9" fontId="1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43" fontId="0" fillId="0" borderId="2" xfId="20" applyFont="1" applyBorder="1" applyAlignment="1">
      <alignment/>
    </xf>
    <xf numFmtId="39" fontId="0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0" xfId="0" applyNumberFormat="1" applyFont="1" applyAlignment="1">
      <alignment horizontal="center"/>
    </xf>
    <xf numFmtId="43" fontId="0" fillId="0" borderId="0" xfId="20" applyFont="1" applyAlignment="1">
      <alignment/>
    </xf>
    <xf numFmtId="39" fontId="9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9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39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39" fontId="1" fillId="0" borderId="2" xfId="0" applyNumberFormat="1" applyFont="1" applyBorder="1" applyAlignment="1">
      <alignment/>
    </xf>
    <xf numFmtId="39" fontId="1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9" fontId="0" fillId="0" borderId="1" xfId="0" applyNumberFormat="1" applyFont="1" applyBorder="1" applyAlignment="1">
      <alignment/>
    </xf>
    <xf numFmtId="43" fontId="0" fillId="0" borderId="1" xfId="2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20" applyFont="1" applyBorder="1" applyAlignment="1">
      <alignment/>
    </xf>
    <xf numFmtId="39" fontId="0" fillId="0" borderId="0" xfId="0" applyNumberFormat="1" applyFont="1" applyBorder="1" applyAlignment="1">
      <alignment horizontal="right"/>
    </xf>
    <xf numFmtId="39" fontId="3" fillId="0" borderId="0" xfId="0" applyNumberFormat="1" applyFont="1" applyAlignment="1">
      <alignment/>
    </xf>
    <xf numFmtId="39" fontId="0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39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3" fontId="18" fillId="0" borderId="0" xfId="20" applyFont="1" applyBorder="1" applyAlignment="1">
      <alignment/>
    </xf>
    <xf numFmtId="39" fontId="14" fillId="0" borderId="0" xfId="0" applyNumberFormat="1" applyFont="1" applyBorder="1" applyAlignment="1">
      <alignment/>
    </xf>
    <xf numFmtId="43" fontId="14" fillId="0" borderId="0" xfId="20" applyFont="1" applyBorder="1" applyAlignment="1">
      <alignment/>
    </xf>
    <xf numFmtId="43" fontId="14" fillId="0" borderId="0" xfId="0" applyNumberFormat="1" applyFont="1" applyAlignment="1">
      <alignment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39" fontId="12" fillId="2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6" fillId="2" borderId="0" xfId="0" applyNumberFormat="1" applyFont="1" applyFill="1" applyAlignment="1">
      <alignment/>
    </xf>
    <xf numFmtId="43" fontId="0" fillId="0" borderId="0" xfId="20" applyFont="1" applyAlignment="1" quotePrefix="1">
      <alignment/>
    </xf>
    <xf numFmtId="39" fontId="0" fillId="0" borderId="0" xfId="0" applyNumberFormat="1" applyFont="1" applyAlignment="1">
      <alignment/>
    </xf>
    <xf numFmtId="43" fontId="0" fillId="2" borderId="0" xfId="20" applyFont="1" applyFill="1" applyAlignment="1">
      <alignment/>
    </xf>
    <xf numFmtId="43" fontId="0" fillId="0" borderId="0" xfId="20" applyFont="1" applyFill="1" applyAlignment="1">
      <alignment/>
    </xf>
    <xf numFmtId="39" fontId="0" fillId="2" borderId="2" xfId="0" applyNumberFormat="1" applyFont="1" applyFill="1" applyBorder="1" applyAlignment="1">
      <alignment/>
    </xf>
    <xf numFmtId="39" fontId="1" fillId="2" borderId="0" xfId="0" applyNumberFormat="1" applyFont="1" applyFill="1" applyAlignment="1">
      <alignment/>
    </xf>
    <xf numFmtId="3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9" fontId="6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9" fontId="10" fillId="0" borderId="0" xfId="0" applyNumberFormat="1" applyFont="1" applyBorder="1" applyAlignment="1">
      <alignment/>
    </xf>
    <xf numFmtId="39" fontId="1" fillId="0" borderId="0" xfId="0" applyNumberFormat="1" applyFont="1" applyAlignment="1">
      <alignment horizontal="left"/>
    </xf>
    <xf numFmtId="39" fontId="0" fillId="0" borderId="0" xfId="20" applyNumberFormat="1" applyFont="1" applyAlignment="1">
      <alignment/>
    </xf>
    <xf numFmtId="39" fontId="1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39" fontId="12" fillId="0" borderId="0" xfId="0" applyNumberFormat="1" applyFont="1" applyFill="1" applyAlignment="1">
      <alignment/>
    </xf>
    <xf numFmtId="43" fontId="0" fillId="0" borderId="0" xfId="20" applyFont="1" applyFill="1" applyAlignment="1" quotePrefix="1">
      <alignment/>
    </xf>
    <xf numFmtId="3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39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2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39" fontId="19" fillId="0" borderId="0" xfId="0" applyNumberFormat="1" applyFont="1" applyAlignment="1">
      <alignment/>
    </xf>
    <xf numFmtId="43" fontId="0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B1">
      <selection activeCell="G5" sqref="G5"/>
    </sheetView>
  </sheetViews>
  <sheetFormatPr defaultColWidth="9.33203125" defaultRowHeight="12.75"/>
  <cols>
    <col min="1" max="1" width="45.83203125" style="1" customWidth="1"/>
    <col min="2" max="2" width="17" style="1" customWidth="1"/>
    <col min="3" max="3" width="16.66015625" style="1" customWidth="1"/>
    <col min="4" max="5" width="16.66015625" style="89" hidden="1" customWidth="1"/>
    <col min="6" max="6" width="45.83203125" style="1" customWidth="1"/>
    <col min="7" max="7" width="16" style="1" customWidth="1"/>
    <col min="8" max="8" width="16.66015625" style="1" customWidth="1"/>
    <col min="9" max="9" width="15.83203125" style="1" hidden="1" customWidth="1"/>
    <col min="10" max="10" width="16.66015625" style="1" hidden="1" customWidth="1"/>
    <col min="11" max="13" width="12" style="1" customWidth="1"/>
    <col min="14" max="14" width="14" style="1" customWidth="1"/>
    <col min="15" max="15" width="14.5" style="1" customWidth="1"/>
    <col min="16" max="16384" width="12" style="1" customWidth="1"/>
  </cols>
  <sheetData>
    <row r="1" spans="1:6" ht="12.75" customHeight="1">
      <c r="A1" s="1" t="s">
        <v>181</v>
      </c>
      <c r="F1" s="1" t="s">
        <v>181</v>
      </c>
    </row>
    <row r="2" spans="1:10" s="14" customFormat="1" ht="12.75" customHeight="1">
      <c r="A2" s="3" t="s">
        <v>182</v>
      </c>
      <c r="B2" s="1" t="s">
        <v>221</v>
      </c>
      <c r="C2" s="1" t="s">
        <v>222</v>
      </c>
      <c r="D2" s="90"/>
      <c r="E2" s="89"/>
      <c r="F2" s="3" t="s">
        <v>182</v>
      </c>
      <c r="G2" s="1" t="s">
        <v>221</v>
      </c>
      <c r="H2" s="1" t="s">
        <v>223</v>
      </c>
      <c r="I2" s="5"/>
      <c r="J2" s="1" t="s">
        <v>170</v>
      </c>
    </row>
    <row r="3" spans="1:9" s="14" customFormat="1" ht="15" customHeight="1">
      <c r="A3" s="43" t="s">
        <v>201</v>
      </c>
      <c r="B3" s="1"/>
      <c r="C3" s="1"/>
      <c r="D3" s="89"/>
      <c r="E3" s="80"/>
      <c r="F3" s="43" t="str">
        <f>A3</f>
        <v>             BALANÇOS PATRIMONIAIS EM 31 DE DEZEMBRO DE 2006 E DE 2005.</v>
      </c>
      <c r="G3" s="1"/>
      <c r="H3" s="1"/>
      <c r="I3" s="1"/>
    </row>
    <row r="4" spans="1:10" s="14" customFormat="1" ht="12.75" customHeight="1" thickBot="1">
      <c r="A4" s="6"/>
      <c r="B4" s="31" t="s">
        <v>102</v>
      </c>
      <c r="C4" s="31"/>
      <c r="D4" s="91"/>
      <c r="E4" s="92"/>
      <c r="F4" s="6"/>
      <c r="G4" s="31" t="s">
        <v>102</v>
      </c>
      <c r="H4" s="31"/>
      <c r="I4" s="31" t="s">
        <v>102</v>
      </c>
      <c r="J4" s="37"/>
    </row>
    <row r="5" spans="2:9" s="14" customFormat="1" ht="8.25" customHeight="1" thickTop="1">
      <c r="B5" s="1"/>
      <c r="C5" s="1"/>
      <c r="D5" s="89"/>
      <c r="E5" s="80"/>
      <c r="G5" s="1"/>
      <c r="H5" s="1"/>
      <c r="I5" s="1"/>
    </row>
    <row r="6" spans="1:10" ht="12.75">
      <c r="A6" s="4" t="s">
        <v>1</v>
      </c>
      <c r="B6" s="32">
        <v>2006</v>
      </c>
      <c r="C6" s="32">
        <v>2005</v>
      </c>
      <c r="D6" s="93"/>
      <c r="E6" s="93"/>
      <c r="F6" s="4" t="s">
        <v>2</v>
      </c>
      <c r="G6" s="32">
        <v>2006</v>
      </c>
      <c r="H6" s="32">
        <v>2005</v>
      </c>
      <c r="I6" s="59">
        <v>2003</v>
      </c>
      <c r="J6" s="59">
        <v>2002</v>
      </c>
    </row>
    <row r="7" spans="2:10" s="14" customFormat="1" ht="12.75" customHeight="1">
      <c r="B7" s="86"/>
      <c r="C7" s="61"/>
      <c r="D7" s="94"/>
      <c r="E7" s="80"/>
      <c r="G7" s="77"/>
      <c r="H7" s="61"/>
      <c r="I7" s="62" t="s">
        <v>145</v>
      </c>
      <c r="J7" s="63"/>
    </row>
    <row r="8" spans="2:10" s="14" customFormat="1" ht="9" customHeight="1">
      <c r="B8" s="1"/>
      <c r="C8" s="1"/>
      <c r="D8" s="89"/>
      <c r="E8" s="80"/>
      <c r="G8" s="8"/>
      <c r="H8" s="1"/>
      <c r="I8" s="64"/>
      <c r="J8" s="63"/>
    </row>
    <row r="9" spans="1:10" ht="15" customHeight="1">
      <c r="A9" s="4" t="s">
        <v>4</v>
      </c>
      <c r="B9" s="34">
        <f>B11+B15+B21+B24</f>
        <v>1374586.6300000001</v>
      </c>
      <c r="C9" s="34">
        <f>C11+C15+C21+C24</f>
        <v>1224928.3699999999</v>
      </c>
      <c r="D9" s="95"/>
      <c r="E9" s="95"/>
      <c r="F9" s="4" t="s">
        <v>4</v>
      </c>
      <c r="G9" s="34">
        <f>SUM(G11:G21)</f>
        <v>73906758.44</v>
      </c>
      <c r="H9" s="34">
        <f>SUM(H11:H21)</f>
        <v>60992243.65999999</v>
      </c>
      <c r="I9" s="65">
        <f>SUM(I11:I21)</f>
        <v>55195207.760000005</v>
      </c>
      <c r="J9" s="65">
        <f>SUM(J11:J21)</f>
        <v>39128841.42</v>
      </c>
    </row>
    <row r="10" spans="2:10" s="14" customFormat="1" ht="12.75" customHeight="1">
      <c r="B10" s="8"/>
      <c r="C10" s="8"/>
      <c r="D10" s="47"/>
      <c r="E10" s="47"/>
      <c r="F10" s="1"/>
      <c r="G10" s="1"/>
      <c r="H10" s="1"/>
      <c r="I10" s="64"/>
      <c r="J10" s="64"/>
    </row>
    <row r="11" spans="1:10" ht="12.75" customHeight="1">
      <c r="A11" s="1" t="s">
        <v>183</v>
      </c>
      <c r="B11" s="22">
        <f>SUM(B12:B13)</f>
        <v>98921.09</v>
      </c>
      <c r="C11" s="22">
        <f>SUM(C12:C13)</f>
        <v>74684.47</v>
      </c>
      <c r="D11" s="81"/>
      <c r="E11" s="81"/>
      <c r="F11" s="14" t="s">
        <v>5</v>
      </c>
      <c r="G11" s="47">
        <v>169126.83</v>
      </c>
      <c r="H11" s="47">
        <v>234544.93</v>
      </c>
      <c r="I11" s="66">
        <f>129894.95</f>
        <v>129894.95</v>
      </c>
      <c r="J11" s="66">
        <f>199321.76</f>
        <v>199321.76</v>
      </c>
    </row>
    <row r="12" spans="1:10" s="14" customFormat="1" ht="12.75" customHeight="1">
      <c r="A12" s="14" t="s">
        <v>131</v>
      </c>
      <c r="B12" s="8">
        <v>98921.09</v>
      </c>
      <c r="C12" s="8">
        <f>29942.17+44742.3</f>
        <v>74684.47</v>
      </c>
      <c r="D12" s="47"/>
      <c r="E12" s="47"/>
      <c r="F12" s="14" t="s">
        <v>6</v>
      </c>
      <c r="G12" s="47">
        <v>28597058.01</v>
      </c>
      <c r="H12" s="47">
        <v>21705370.66</v>
      </c>
      <c r="I12" s="66">
        <v>7479756.7</v>
      </c>
      <c r="J12" s="66">
        <v>5287667.42</v>
      </c>
    </row>
    <row r="13" spans="1:10" s="14" customFormat="1" ht="12.75" customHeight="1">
      <c r="A13" s="14" t="s">
        <v>7</v>
      </c>
      <c r="B13" s="68">
        <v>0</v>
      </c>
      <c r="C13" s="68">
        <v>0</v>
      </c>
      <c r="D13" s="96"/>
      <c r="E13" s="96"/>
      <c r="F13" s="14" t="s">
        <v>8</v>
      </c>
      <c r="G13" s="47">
        <v>4679118.66</v>
      </c>
      <c r="H13" s="47">
        <v>5265434.07</v>
      </c>
      <c r="I13" s="66">
        <v>2962414.03</v>
      </c>
      <c r="J13" s="66">
        <v>2039791.09</v>
      </c>
    </row>
    <row r="14" spans="1:11" s="14" customFormat="1" ht="12.75" customHeight="1">
      <c r="A14" s="1"/>
      <c r="B14" s="69"/>
      <c r="C14" s="69"/>
      <c r="D14" s="97"/>
      <c r="E14" s="97"/>
      <c r="F14" s="14" t="s">
        <v>9</v>
      </c>
      <c r="G14" s="47">
        <v>6324936.36</v>
      </c>
      <c r="H14" s="47">
        <v>5708839.47</v>
      </c>
      <c r="I14" s="66">
        <v>6612545.24</v>
      </c>
      <c r="J14" s="66">
        <v>3676286.36</v>
      </c>
      <c r="K14" s="105"/>
    </row>
    <row r="15" spans="1:10" s="14" customFormat="1" ht="12.75" customHeight="1">
      <c r="A15" s="1" t="s">
        <v>184</v>
      </c>
      <c r="B15" s="22">
        <f>SUM(B16:B20)</f>
        <v>1268109.4200000002</v>
      </c>
      <c r="C15" s="22">
        <f>SUM(C16:C20)</f>
        <v>1143727.5899999999</v>
      </c>
      <c r="D15" s="81"/>
      <c r="E15" s="81"/>
      <c r="F15" s="14" t="s">
        <v>10</v>
      </c>
      <c r="G15" s="47">
        <v>21019610.39</v>
      </c>
      <c r="H15" s="47">
        <f>16674239.58</f>
        <v>16674239.58</v>
      </c>
      <c r="I15" s="66">
        <v>11678494.28</v>
      </c>
      <c r="J15" s="66">
        <v>9379804.79</v>
      </c>
    </row>
    <row r="16" spans="1:10" ht="12.75" customHeight="1">
      <c r="A16" s="14" t="s">
        <v>11</v>
      </c>
      <c r="B16" s="8">
        <v>1098086.53</v>
      </c>
      <c r="C16" s="8">
        <v>1021161.53</v>
      </c>
      <c r="D16" s="47"/>
      <c r="E16" s="47"/>
      <c r="F16" s="14" t="s">
        <v>12</v>
      </c>
      <c r="G16" s="47">
        <v>7735425.72</v>
      </c>
      <c r="H16" s="47">
        <f>6456197.34</f>
        <v>6456197.34</v>
      </c>
      <c r="I16" s="66">
        <v>4094100.67</v>
      </c>
      <c r="J16" s="66">
        <v>3003023.43</v>
      </c>
    </row>
    <row r="17" spans="1:10" s="14" customFormat="1" ht="12.75" customHeight="1">
      <c r="A17" s="14" t="s">
        <v>13</v>
      </c>
      <c r="B17" s="8">
        <f>69530.02+38219.99+500</f>
        <v>108250.01000000001</v>
      </c>
      <c r="C17" s="8">
        <f>1161+12000+13079.56+2340+11299+35995.36+500+4301</f>
        <v>80675.92</v>
      </c>
      <c r="D17" s="47"/>
      <c r="E17" s="47"/>
      <c r="F17" s="14" t="s">
        <v>14</v>
      </c>
      <c r="G17" s="47">
        <v>8832.91</v>
      </c>
      <c r="H17" s="47">
        <v>8832.91</v>
      </c>
      <c r="I17" s="66">
        <v>8832.91</v>
      </c>
      <c r="J17" s="66">
        <v>8832.91</v>
      </c>
    </row>
    <row r="18" spans="1:10" s="14" customFormat="1" ht="12.75" customHeight="1">
      <c r="A18" s="14" t="s">
        <v>15</v>
      </c>
      <c r="B18" s="8">
        <f>61772.88-34650.52</f>
        <v>27122.36</v>
      </c>
      <c r="C18" s="8">
        <v>7980</v>
      </c>
      <c r="D18" s="47"/>
      <c r="E18" s="96"/>
      <c r="F18" s="14" t="s">
        <v>16</v>
      </c>
      <c r="G18" s="47">
        <v>48127.86</v>
      </c>
      <c r="H18" s="47">
        <v>48127.86</v>
      </c>
      <c r="I18" s="66">
        <v>48127.86</v>
      </c>
      <c r="J18" s="66">
        <v>48127.86</v>
      </c>
    </row>
    <row r="19" spans="1:10" s="14" customFormat="1" ht="12.75" customHeight="1">
      <c r="A19" s="14" t="s">
        <v>132</v>
      </c>
      <c r="B19" s="8">
        <v>34650.52</v>
      </c>
      <c r="C19" s="8">
        <f>33910.14</f>
        <v>33910.14</v>
      </c>
      <c r="D19" s="47"/>
      <c r="E19" s="47"/>
      <c r="F19" s="14" t="s">
        <v>17</v>
      </c>
      <c r="G19" s="47">
        <v>2293087.41</v>
      </c>
      <c r="H19" s="47">
        <v>1633994.8</v>
      </c>
      <c r="I19" s="66">
        <v>700157.08</v>
      </c>
      <c r="J19" s="66">
        <v>1094035.57</v>
      </c>
    </row>
    <row r="20" spans="2:10" s="14" customFormat="1" ht="12.75" customHeight="1">
      <c r="B20" s="29"/>
      <c r="C20" s="29"/>
      <c r="D20" s="98"/>
      <c r="E20" s="98"/>
      <c r="F20" s="14" t="s">
        <v>18</v>
      </c>
      <c r="G20" s="47">
        <v>3031434.29</v>
      </c>
      <c r="H20" s="47">
        <f>3259491.66-2829.62</f>
        <v>3256662.04</v>
      </c>
      <c r="I20" s="66">
        <v>3458291.04</v>
      </c>
      <c r="J20" s="66">
        <v>1230287.23</v>
      </c>
    </row>
    <row r="21" spans="1:10" s="14" customFormat="1" ht="12.75" customHeight="1">
      <c r="A21" s="1" t="s">
        <v>185</v>
      </c>
      <c r="B21" s="22">
        <f>B22</f>
        <v>2544.42</v>
      </c>
      <c r="C21" s="22">
        <f>C22</f>
        <v>3160.07</v>
      </c>
      <c r="D21" s="81"/>
      <c r="E21" s="81"/>
      <c r="G21" s="16"/>
      <c r="H21" s="16"/>
      <c r="I21" s="66">
        <v>18022593</v>
      </c>
      <c r="J21" s="66">
        <v>13161663</v>
      </c>
    </row>
    <row r="22" spans="1:12" s="14" customFormat="1" ht="12.75" customHeight="1">
      <c r="A22" s="14" t="s">
        <v>20</v>
      </c>
      <c r="B22" s="8">
        <v>2544.42</v>
      </c>
      <c r="C22" s="8">
        <v>3160.07</v>
      </c>
      <c r="D22" s="47"/>
      <c r="E22" s="47"/>
      <c r="F22" s="4" t="s">
        <v>211</v>
      </c>
      <c r="G22" s="113">
        <f>G24+G36</f>
        <v>143909571.58999997</v>
      </c>
      <c r="H22" s="113">
        <f>H24+H36</f>
        <v>136023985.05</v>
      </c>
      <c r="I22" s="63"/>
      <c r="J22" s="63"/>
      <c r="K22" s="82"/>
      <c r="L22" s="82"/>
    </row>
    <row r="23" spans="2:10" s="14" customFormat="1" ht="12.75" customHeight="1">
      <c r="B23" s="16"/>
      <c r="C23" s="16"/>
      <c r="D23" s="71"/>
      <c r="E23" s="47"/>
      <c r="I23" s="67">
        <f>SUM(I25:I37)</f>
        <v>58826913.760000005</v>
      </c>
      <c r="J23" s="67">
        <f>SUM(J25:J37)</f>
        <v>49035752.760000005</v>
      </c>
    </row>
    <row r="24" spans="1:10" s="14" customFormat="1" ht="12.75" customHeight="1">
      <c r="A24" s="1" t="s">
        <v>186</v>
      </c>
      <c r="B24" s="22">
        <f>B25</f>
        <v>5011.7</v>
      </c>
      <c r="C24" s="22">
        <f>C25</f>
        <v>3356.24</v>
      </c>
      <c r="D24" s="81"/>
      <c r="E24" s="81"/>
      <c r="F24" s="4" t="s">
        <v>19</v>
      </c>
      <c r="G24" s="22">
        <f>SUM(G26:G34)</f>
        <v>122891245.58999999</v>
      </c>
      <c r="H24" s="22">
        <f>SUM(H26:H34)</f>
        <v>120021985.05</v>
      </c>
      <c r="I24" s="63"/>
      <c r="J24" s="63"/>
    </row>
    <row r="25" spans="1:10" s="14" customFormat="1" ht="12.75" customHeight="1">
      <c r="A25" s="14" t="s">
        <v>146</v>
      </c>
      <c r="B25" s="8">
        <v>5011.7</v>
      </c>
      <c r="C25" s="8">
        <v>3356.24</v>
      </c>
      <c r="D25" s="47"/>
      <c r="E25" s="47"/>
      <c r="I25" s="66">
        <v>643577.35</v>
      </c>
      <c r="J25" s="66">
        <f>772292.83+816255.76</f>
        <v>1588548.5899999999</v>
      </c>
    </row>
    <row r="26" spans="4:10" s="14" customFormat="1" ht="12.75" customHeight="1">
      <c r="D26" s="96"/>
      <c r="E26" s="71"/>
      <c r="F26" s="14" t="s">
        <v>21</v>
      </c>
      <c r="G26" s="47">
        <v>214525.78</v>
      </c>
      <c r="H26" s="47">
        <v>214525.78</v>
      </c>
      <c r="I26" s="66">
        <f>19781401.78+27933.5</f>
        <v>19809335.28</v>
      </c>
      <c r="J26" s="66">
        <f>15980569.96+27933.5</f>
        <v>16008503.46</v>
      </c>
    </row>
    <row r="27" spans="1:10" s="14" customFormat="1" ht="12.75" customHeight="1">
      <c r="A27" s="4" t="s">
        <v>211</v>
      </c>
      <c r="B27" s="114">
        <f>B29+B40</f>
        <v>196328560.13</v>
      </c>
      <c r="C27" s="113">
        <f>C29+C40</f>
        <v>176745604.48999998</v>
      </c>
      <c r="D27" s="96"/>
      <c r="E27" s="71"/>
      <c r="F27" s="14" t="s">
        <v>23</v>
      </c>
      <c r="G27" s="47">
        <v>54099.29</v>
      </c>
      <c r="H27" s="47">
        <v>134637.7</v>
      </c>
      <c r="I27" s="66">
        <v>3839386.91</v>
      </c>
      <c r="J27" s="66">
        <v>3518073.92</v>
      </c>
    </row>
    <row r="28" spans="2:10" s="14" customFormat="1" ht="12.75" customHeight="1">
      <c r="B28" s="108"/>
      <c r="D28" s="80"/>
      <c r="E28" s="80"/>
      <c r="F28" s="14" t="s">
        <v>24</v>
      </c>
      <c r="G28" s="47">
        <v>35834.79</v>
      </c>
      <c r="H28" s="47">
        <v>24432.59</v>
      </c>
      <c r="I28" s="66">
        <f>305223.8+2416207.53</f>
        <v>2721431.3299999996</v>
      </c>
      <c r="J28" s="66">
        <f>601198.66+230546.41</f>
        <v>831745.0700000001</v>
      </c>
    </row>
    <row r="29" spans="1:10" s="14" customFormat="1" ht="12.75" customHeight="1">
      <c r="A29" s="4" t="s">
        <v>22</v>
      </c>
      <c r="B29" s="22">
        <f>SUM(B30:B38)</f>
        <v>181200853.13</v>
      </c>
      <c r="C29" s="22">
        <f>SUM(C30:C38)</f>
        <v>161241300.17</v>
      </c>
      <c r="D29" s="81"/>
      <c r="E29" s="81"/>
      <c r="F29" s="14" t="s">
        <v>25</v>
      </c>
      <c r="G29" s="47">
        <v>11064408.36</v>
      </c>
      <c r="H29" s="47">
        <v>9632586.02</v>
      </c>
      <c r="I29" s="66">
        <v>52120.78</v>
      </c>
      <c r="J29" s="66">
        <v>1681.18</v>
      </c>
    </row>
    <row r="30" spans="1:10" s="14" customFormat="1" ht="12.75" customHeight="1">
      <c r="A30" s="14" t="s">
        <v>147</v>
      </c>
      <c r="B30" s="47">
        <f>114257711-'Demexp.'!B22</f>
        <v>128469129.54</v>
      </c>
      <c r="C30" s="47">
        <v>114257711</v>
      </c>
      <c r="D30" s="47"/>
      <c r="E30" s="47"/>
      <c r="F30" s="14" t="s">
        <v>193</v>
      </c>
      <c r="G30" s="71">
        <v>12121487.46</v>
      </c>
      <c r="H30" s="71">
        <v>11895751.25</v>
      </c>
      <c r="I30" s="66">
        <v>298145.41</v>
      </c>
      <c r="J30" s="66">
        <v>275323.99</v>
      </c>
    </row>
    <row r="31" spans="1:10" s="14" customFormat="1" ht="12.75" customHeight="1">
      <c r="A31" s="14" t="s">
        <v>214</v>
      </c>
      <c r="B31" s="8">
        <f>-19756834.49-5289322.25</f>
        <v>-25046156.74</v>
      </c>
      <c r="C31" s="8">
        <f>-19756834.49-5289322.25</f>
        <v>-25046156.74</v>
      </c>
      <c r="D31" s="47"/>
      <c r="E31" s="47"/>
      <c r="F31" s="14" t="s">
        <v>26</v>
      </c>
      <c r="G31" s="47">
        <f>2178083.05</f>
        <v>2178083.05</v>
      </c>
      <c r="H31" s="47">
        <f>2178083.05</f>
        <v>2178083.05</v>
      </c>
      <c r="I31" s="66">
        <v>5679910.38</v>
      </c>
      <c r="J31" s="66">
        <v>4965906.41</v>
      </c>
    </row>
    <row r="32" spans="1:10" s="14" customFormat="1" ht="12.75" customHeight="1">
      <c r="A32" s="14" t="s">
        <v>148</v>
      </c>
      <c r="B32" s="8">
        <v>2208276.74</v>
      </c>
      <c r="C32" s="8">
        <v>1533892.58</v>
      </c>
      <c r="D32" s="96"/>
      <c r="E32" s="96"/>
      <c r="F32" s="14" t="s">
        <v>0</v>
      </c>
      <c r="G32" s="71">
        <f>686.9+6390780.89+16018931.04+4309564.23+1465037.51</f>
        <v>28185000.57</v>
      </c>
      <c r="H32" s="71">
        <f>686.9+6390780.89+24198207.9+1380723.47</f>
        <v>31970399.159999996</v>
      </c>
      <c r="I32" s="70">
        <v>0</v>
      </c>
      <c r="J32" s="66">
        <v>373054.26</v>
      </c>
    </row>
    <row r="33" spans="1:10" s="14" customFormat="1" ht="12.75" customHeight="1">
      <c r="A33" s="14" t="s">
        <v>213</v>
      </c>
      <c r="B33" s="8">
        <f>480661.71+328748.56</f>
        <v>809410.27</v>
      </c>
      <c r="C33" s="8">
        <f>480661.71+328704.56</f>
        <v>809366.27</v>
      </c>
      <c r="D33" s="47"/>
      <c r="E33" s="47"/>
      <c r="F33" s="14" t="s">
        <v>195</v>
      </c>
      <c r="G33" s="47">
        <v>66829529.55</v>
      </c>
      <c r="H33" s="47">
        <v>62437676.92</v>
      </c>
      <c r="I33" s="70">
        <v>0</v>
      </c>
      <c r="J33" s="70">
        <v>0</v>
      </c>
    </row>
    <row r="34" spans="1:10" s="14" customFormat="1" ht="12.75" customHeight="1">
      <c r="A34" s="14" t="s">
        <v>151</v>
      </c>
      <c r="B34" s="8">
        <v>882800</v>
      </c>
      <c r="C34" s="8">
        <v>882800</v>
      </c>
      <c r="D34" s="47"/>
      <c r="E34" s="47"/>
      <c r="F34" s="14" t="s">
        <v>155</v>
      </c>
      <c r="G34" s="47">
        <v>2208276.74</v>
      </c>
      <c r="H34" s="47">
        <v>1533892.58</v>
      </c>
      <c r="I34" s="66">
        <v>2178083.05</v>
      </c>
      <c r="J34" s="66">
        <v>1932327.28</v>
      </c>
    </row>
    <row r="35" spans="1:10" s="14" customFormat="1" ht="12.75" customHeight="1">
      <c r="A35" s="14" t="s">
        <v>152</v>
      </c>
      <c r="B35" s="8">
        <v>155965.19</v>
      </c>
      <c r="C35" s="8">
        <v>155965.19</v>
      </c>
      <c r="D35" s="96"/>
      <c r="E35" s="47"/>
      <c r="I35" s="66">
        <f>1048.45+1095.08</f>
        <v>2143.5299999999997</v>
      </c>
      <c r="J35" s="66">
        <f>318.1+0.07+35</f>
        <v>353.17</v>
      </c>
    </row>
    <row r="36" spans="1:10" s="14" customFormat="1" ht="12.75" customHeight="1">
      <c r="A36" s="14" t="s">
        <v>153</v>
      </c>
      <c r="B36" s="8">
        <f>-882800-636626.9-340884.5</f>
        <v>-1860311.4</v>
      </c>
      <c r="C36" s="8">
        <f>-882800-636626.9-340884.5</f>
        <v>-1860311.4</v>
      </c>
      <c r="D36" s="47"/>
      <c r="E36" s="47"/>
      <c r="F36" s="4" t="s">
        <v>27</v>
      </c>
      <c r="G36" s="81">
        <f>SUM(G38)</f>
        <v>21018326</v>
      </c>
      <c r="H36" s="81">
        <f>SUM(H38)</f>
        <v>16002000</v>
      </c>
      <c r="I36" s="66">
        <v>23386458.41</v>
      </c>
      <c r="J36" s="66">
        <v>19356458.41</v>
      </c>
    </row>
    <row r="37" spans="1:11" s="14" customFormat="1" ht="12.75" customHeight="1">
      <c r="A37" s="14" t="s">
        <v>154</v>
      </c>
      <c r="B37" s="8">
        <f>13832.24</f>
        <v>13832.24</v>
      </c>
      <c r="C37" s="8">
        <f>13832.24</f>
        <v>13832.24</v>
      </c>
      <c r="D37" s="96"/>
      <c r="E37" s="96"/>
      <c r="I37" s="66">
        <v>216321.33</v>
      </c>
      <c r="J37" s="66">
        <v>183777.02</v>
      </c>
      <c r="K37" s="78"/>
    </row>
    <row r="38" spans="1:11" s="14" customFormat="1" ht="13.5" customHeight="1">
      <c r="A38" s="14" t="s">
        <v>150</v>
      </c>
      <c r="B38" s="47">
        <v>75567907.29</v>
      </c>
      <c r="C38" s="47">
        <v>70494201.03</v>
      </c>
      <c r="D38" s="47"/>
      <c r="E38" s="47"/>
      <c r="F38" s="14" t="s">
        <v>28</v>
      </c>
      <c r="G38" s="71">
        <v>21018326</v>
      </c>
      <c r="H38" s="71">
        <v>16002000</v>
      </c>
      <c r="I38" s="63"/>
      <c r="J38" s="66"/>
      <c r="K38" s="109"/>
    </row>
    <row r="39" spans="4:10" s="14" customFormat="1" ht="12.75" customHeight="1">
      <c r="D39" s="47"/>
      <c r="E39" s="47"/>
      <c r="I39" s="70">
        <v>0</v>
      </c>
      <c r="J39" s="70"/>
    </row>
    <row r="40" spans="1:10" s="14" customFormat="1" ht="12.75" customHeight="1">
      <c r="A40" s="4" t="s">
        <v>29</v>
      </c>
      <c r="B40" s="22">
        <f>B42+B46</f>
        <v>15127707.000000002</v>
      </c>
      <c r="C40" s="22">
        <f>C42+C46</f>
        <v>15504304.32</v>
      </c>
      <c r="D40" s="81"/>
      <c r="E40" s="81"/>
      <c r="F40" s="4" t="s">
        <v>30</v>
      </c>
      <c r="G40" s="81">
        <f>SUM(G44:G48)</f>
        <v>-20113183.270000003</v>
      </c>
      <c r="H40" s="81">
        <f>SUM(H44:H48)</f>
        <v>-19045695.85</v>
      </c>
      <c r="I40" s="70">
        <v>0</v>
      </c>
      <c r="J40" s="70">
        <v>0</v>
      </c>
    </row>
    <row r="41" spans="2:10" s="14" customFormat="1" ht="13.5" customHeight="1">
      <c r="B41" s="8"/>
      <c r="C41" s="8"/>
      <c r="D41" s="47"/>
      <c r="E41" s="47"/>
      <c r="F41" s="1"/>
      <c r="G41" s="89"/>
      <c r="H41" s="89"/>
      <c r="I41" s="63"/>
      <c r="J41" s="63"/>
    </row>
    <row r="42" spans="1:10" ht="13.5" customHeight="1">
      <c r="A42" s="1" t="s">
        <v>187</v>
      </c>
      <c r="B42" s="22">
        <f>SUM(B43:B44)</f>
        <v>14244.24</v>
      </c>
      <c r="C42" s="22">
        <f>SUM(C43:C44)</f>
        <v>14244.24</v>
      </c>
      <c r="D42" s="81"/>
      <c r="E42" s="81"/>
      <c r="F42" s="14" t="s">
        <v>129</v>
      </c>
      <c r="G42" s="47">
        <v>11238181.72</v>
      </c>
      <c r="H42" s="47">
        <v>11238181.72</v>
      </c>
      <c r="I42" s="67">
        <f>SUM(I46:I50)</f>
        <v>5575371.6000000015</v>
      </c>
      <c r="J42" s="67">
        <f>SUM(J46:J50)</f>
        <v>8505104.650000002</v>
      </c>
    </row>
    <row r="43" spans="1:10" ht="15.75">
      <c r="A43" s="14" t="s">
        <v>31</v>
      </c>
      <c r="B43" s="68">
        <v>0</v>
      </c>
      <c r="C43" s="68">
        <v>0</v>
      </c>
      <c r="D43" s="47"/>
      <c r="E43" s="47"/>
      <c r="F43" s="14" t="s">
        <v>33</v>
      </c>
      <c r="G43" s="107">
        <v>2972.81</v>
      </c>
      <c r="H43" s="107">
        <v>2972.81</v>
      </c>
      <c r="I43" s="64"/>
      <c r="J43" s="64"/>
    </row>
    <row r="44" spans="1:10" s="14" customFormat="1" ht="12.75" customHeight="1">
      <c r="A44" s="14" t="s">
        <v>32</v>
      </c>
      <c r="B44" s="8">
        <f>1390.6+12853.64</f>
        <v>14244.24</v>
      </c>
      <c r="C44" s="8">
        <f>1390.6+12853.64</f>
        <v>14244.24</v>
      </c>
      <c r="D44" s="47"/>
      <c r="E44" s="47"/>
      <c r="F44" s="14" t="s">
        <v>34</v>
      </c>
      <c r="G44" s="47">
        <f>SUM(G42:G43)</f>
        <v>11241154.530000001</v>
      </c>
      <c r="H44" s="47">
        <f>SUM(H42:H43)</f>
        <v>11241154.530000001</v>
      </c>
      <c r="I44" s="66">
        <v>11238181.72</v>
      </c>
      <c r="J44" s="66">
        <v>11238181.72</v>
      </c>
    </row>
    <row r="45" spans="2:10" s="14" customFormat="1" ht="12.75" customHeight="1">
      <c r="B45" s="8"/>
      <c r="C45" s="8"/>
      <c r="D45" s="47"/>
      <c r="E45" s="47"/>
      <c r="F45" s="14" t="s">
        <v>35</v>
      </c>
      <c r="G45" s="47">
        <f>598752.85+51839.58+2300823.58</f>
        <v>2951416.01</v>
      </c>
      <c r="H45" s="47">
        <f>598752.85+51839.58+2300823.58</f>
        <v>2951416.01</v>
      </c>
      <c r="I45" s="72">
        <v>2972.81</v>
      </c>
      <c r="J45" s="72">
        <v>2972.81</v>
      </c>
    </row>
    <row r="46" spans="1:15" s="14" customFormat="1" ht="12.75" customHeight="1">
      <c r="A46" s="1" t="s">
        <v>188</v>
      </c>
      <c r="B46" s="22">
        <f>SUM(B47:B51)</f>
        <v>15113462.760000002</v>
      </c>
      <c r="C46" s="22">
        <f>SUM(C47:C51)</f>
        <v>15490060.08</v>
      </c>
      <c r="D46" s="81"/>
      <c r="E46" s="81"/>
      <c r="F46" s="14" t="s">
        <v>37</v>
      </c>
      <c r="G46" s="71">
        <v>0</v>
      </c>
      <c r="H46" s="71">
        <v>0</v>
      </c>
      <c r="I46" s="66">
        <f>SUM(I44:I45)</f>
        <v>11241154.530000001</v>
      </c>
      <c r="J46" s="66">
        <f>SUM(J44:J45)</f>
        <v>11241154.530000001</v>
      </c>
      <c r="M46" s="79"/>
      <c r="N46" s="79"/>
      <c r="O46" s="78"/>
    </row>
    <row r="47" spans="1:15" s="14" customFormat="1" ht="12.75" customHeight="1">
      <c r="A47" s="14" t="s">
        <v>36</v>
      </c>
      <c r="B47" s="47">
        <v>7283150.27</v>
      </c>
      <c r="C47" s="47">
        <v>7283150.27</v>
      </c>
      <c r="D47" s="47"/>
      <c r="E47" s="47"/>
      <c r="F47" s="14" t="s">
        <v>39</v>
      </c>
      <c r="G47" s="71">
        <v>0</v>
      </c>
      <c r="H47" s="71">
        <v>0</v>
      </c>
      <c r="I47" s="66">
        <f>598752.85+51839.58+2300823.58</f>
        <v>2951416.01</v>
      </c>
      <c r="J47" s="66">
        <f>598752.85+51839.58+2300823.58</f>
        <v>2951416.01</v>
      </c>
      <c r="M47" s="79"/>
      <c r="N47" s="79"/>
      <c r="O47" s="78"/>
    </row>
    <row r="48" spans="1:15" s="14" customFormat="1" ht="12.75" customHeight="1">
      <c r="A48" s="14" t="s">
        <v>38</v>
      </c>
      <c r="B48" s="47">
        <f>-3966453.42</f>
        <v>-3966453.42</v>
      </c>
      <c r="C48" s="47">
        <v>-3517843.1</v>
      </c>
      <c r="D48" s="47"/>
      <c r="E48" s="47"/>
      <c r="F48" s="14" t="s">
        <v>40</v>
      </c>
      <c r="G48" s="47">
        <f>-33238266.39+'Demres.'!B38</f>
        <v>-34305753.81</v>
      </c>
      <c r="H48" s="47">
        <v>-33238266.39</v>
      </c>
      <c r="I48" s="70">
        <v>0</v>
      </c>
      <c r="J48" s="70">
        <v>0</v>
      </c>
      <c r="M48" s="79"/>
      <c r="N48" s="79"/>
      <c r="O48" s="78"/>
    </row>
    <row r="49" spans="1:15" s="14" customFormat="1" ht="12.75" customHeight="1">
      <c r="A49" s="14" t="s">
        <v>41</v>
      </c>
      <c r="B49" s="8">
        <f>591.11+611289.45+77510.86+27813.31+32312.71+177284.69+253886.51+69299.87+25161.87</f>
        <v>1275150.38</v>
      </c>
      <c r="C49" s="8">
        <f>591.11+611289.45+77510.86+27813.31+32312.71+174284.69+188540.56+69299.87+25161.87</f>
        <v>1206804.4300000002</v>
      </c>
      <c r="D49" s="47"/>
      <c r="E49" s="47"/>
      <c r="I49" s="70">
        <v>0</v>
      </c>
      <c r="J49" s="70">
        <v>0</v>
      </c>
      <c r="K49" s="78"/>
      <c r="M49" s="79"/>
      <c r="N49" s="79"/>
      <c r="O49" s="78"/>
    </row>
    <row r="50" spans="1:15" s="14" customFormat="1" ht="12.75" customHeight="1">
      <c r="A50" s="14" t="s">
        <v>149</v>
      </c>
      <c r="B50" s="47">
        <v>11491651.66</v>
      </c>
      <c r="C50" s="47">
        <v>11470311.66</v>
      </c>
      <c r="D50" s="47"/>
      <c r="E50" s="47"/>
      <c r="I50" s="66">
        <f>-8617198.94</f>
        <v>-8617198.94</v>
      </c>
      <c r="J50" s="66">
        <f>-5687430.89-35</f>
        <v>-5687465.89</v>
      </c>
      <c r="M50" s="79"/>
      <c r="N50" s="79"/>
      <c r="O50" s="78"/>
    </row>
    <row r="51" spans="1:15" s="14" customFormat="1" ht="12.75" customHeight="1">
      <c r="A51" s="14" t="s">
        <v>42</v>
      </c>
      <c r="B51" s="8">
        <f>-393171.05-576865.08</f>
        <v>-970036.1299999999</v>
      </c>
      <c r="C51" s="8">
        <f>-385147.54-567215.64</f>
        <v>-952363.1799999999</v>
      </c>
      <c r="D51" s="47"/>
      <c r="E51" s="47"/>
      <c r="I51" s="63"/>
      <c r="J51" s="63"/>
      <c r="M51" s="79"/>
      <c r="N51" s="79"/>
      <c r="O51" s="79"/>
    </row>
    <row r="52" spans="2:15" s="14" customFormat="1" ht="12.75" customHeight="1">
      <c r="B52" s="8"/>
      <c r="C52" s="8"/>
      <c r="D52" s="47"/>
      <c r="E52" s="47"/>
      <c r="G52" s="47"/>
      <c r="H52" s="47"/>
      <c r="I52" s="66"/>
      <c r="J52" s="66"/>
      <c r="M52" s="79"/>
      <c r="N52" s="79"/>
      <c r="O52" s="78"/>
    </row>
    <row r="53" spans="2:15" s="14" customFormat="1" ht="12.75" customHeight="1">
      <c r="B53" s="8"/>
      <c r="C53" s="8"/>
      <c r="D53" s="47"/>
      <c r="E53" s="47"/>
      <c r="F53" s="1" t="s">
        <v>189</v>
      </c>
      <c r="G53" s="10">
        <f>G9+G22+G40</f>
        <v>197703146.75999996</v>
      </c>
      <c r="H53" s="10">
        <f>H9+H22+H40</f>
        <v>177970532.86</v>
      </c>
      <c r="I53" s="73">
        <f>I9+I23+I42</f>
        <v>119597493.12</v>
      </c>
      <c r="J53" s="73">
        <f>J9+J23+J42</f>
        <v>96669698.83000001</v>
      </c>
      <c r="M53" s="79"/>
      <c r="N53" s="79"/>
      <c r="O53" s="79"/>
    </row>
    <row r="54" spans="1:15" s="14" customFormat="1" ht="12.75" customHeight="1">
      <c r="A54" s="1" t="s">
        <v>190</v>
      </c>
      <c r="B54" s="10">
        <f>B9+B27</f>
        <v>197703146.76</v>
      </c>
      <c r="C54" s="10">
        <f>C9+C27</f>
        <v>177970532.85999998</v>
      </c>
      <c r="D54" s="81"/>
      <c r="E54" s="81"/>
      <c r="G54" s="10"/>
      <c r="H54" s="10"/>
      <c r="M54" s="79"/>
      <c r="N54" s="79"/>
      <c r="O54" s="78"/>
    </row>
    <row r="55" spans="4:15" s="14" customFormat="1" ht="12.75" customHeight="1">
      <c r="D55" s="47"/>
      <c r="E55" s="47"/>
      <c r="F55" s="10" t="s">
        <v>203</v>
      </c>
      <c r="G55" s="10"/>
      <c r="H55" s="8"/>
      <c r="I55" s="10"/>
      <c r="M55" s="79"/>
      <c r="N55" s="79"/>
      <c r="O55" s="78"/>
    </row>
    <row r="56" spans="2:15" s="14" customFormat="1" ht="12.75" customHeight="1">
      <c r="B56" s="35"/>
      <c r="C56" s="35"/>
      <c r="D56" s="47"/>
      <c r="E56" s="47"/>
      <c r="G56" s="35"/>
      <c r="H56" s="35"/>
      <c r="J56" s="1"/>
      <c r="M56" s="79"/>
      <c r="N56" s="79"/>
      <c r="O56" s="78"/>
    </row>
    <row r="57" spans="2:15" s="14" customFormat="1" ht="13.5" customHeight="1">
      <c r="B57" s="8"/>
      <c r="C57" s="8"/>
      <c r="D57" s="99"/>
      <c r="E57" s="99"/>
      <c r="F57" s="1"/>
      <c r="G57" s="8"/>
      <c r="H57" s="8"/>
      <c r="J57" s="1"/>
      <c r="M57" s="79"/>
      <c r="N57" s="79"/>
      <c r="O57" s="78"/>
    </row>
    <row r="58" spans="2:15" s="14" customFormat="1" ht="12.75" customHeight="1">
      <c r="B58" s="8"/>
      <c r="C58" s="8"/>
      <c r="D58" s="99"/>
      <c r="E58" s="80"/>
      <c r="F58" s="1" t="s">
        <v>174</v>
      </c>
      <c r="G58" s="19" t="s">
        <v>144</v>
      </c>
      <c r="H58" s="8"/>
      <c r="J58" s="1"/>
      <c r="M58" s="79"/>
      <c r="N58" s="79"/>
      <c r="O58" s="79"/>
    </row>
    <row r="59" spans="1:15" s="14" customFormat="1" ht="12.75" customHeight="1">
      <c r="A59" s="10" t="s">
        <v>202</v>
      </c>
      <c r="C59" s="10"/>
      <c r="D59" s="100"/>
      <c r="E59" s="80"/>
      <c r="F59" s="1" t="s">
        <v>175</v>
      </c>
      <c r="G59" s="8" t="s">
        <v>176</v>
      </c>
      <c r="H59" s="1"/>
      <c r="I59" s="1"/>
      <c r="J59" s="1"/>
      <c r="M59" s="79"/>
      <c r="N59" s="79"/>
      <c r="O59" s="79"/>
    </row>
    <row r="60" spans="3:15" s="14" customFormat="1" ht="12.75" customHeight="1">
      <c r="C60" s="8"/>
      <c r="D60" s="100"/>
      <c r="E60" s="89"/>
      <c r="H60" s="19"/>
      <c r="I60" s="19"/>
      <c r="J60" s="19"/>
      <c r="M60" s="79"/>
      <c r="N60" s="79"/>
      <c r="O60" s="79"/>
    </row>
    <row r="61" spans="1:15" s="14" customFormat="1" ht="12.75" customHeight="1">
      <c r="A61" s="1" t="s">
        <v>174</v>
      </c>
      <c r="B61" s="19" t="s">
        <v>144</v>
      </c>
      <c r="C61" s="8"/>
      <c r="D61" s="101"/>
      <c r="E61" s="89"/>
      <c r="F61" s="74" t="s">
        <v>136</v>
      </c>
      <c r="G61" s="19"/>
      <c r="H61" s="8"/>
      <c r="I61" s="75"/>
      <c r="J61" s="75"/>
      <c r="M61" s="106"/>
      <c r="N61" s="79"/>
      <c r="O61" s="79"/>
    </row>
    <row r="62" spans="1:15" s="14" customFormat="1" ht="12.75" customHeight="1">
      <c r="A62" s="1" t="s">
        <v>175</v>
      </c>
      <c r="B62" s="8" t="s">
        <v>176</v>
      </c>
      <c r="C62" s="1"/>
      <c r="D62" s="47"/>
      <c r="E62" s="89"/>
      <c r="F62" s="60" t="s">
        <v>137</v>
      </c>
      <c r="G62" s="76"/>
      <c r="H62" s="8"/>
      <c r="I62" s="8"/>
      <c r="M62" s="106"/>
      <c r="N62" s="79"/>
      <c r="O62" s="79"/>
    </row>
    <row r="63" spans="3:15" s="14" customFormat="1" ht="12.75" customHeight="1">
      <c r="C63" s="19"/>
      <c r="D63" s="102"/>
      <c r="E63" s="102"/>
      <c r="F63" s="1"/>
      <c r="G63" s="8"/>
      <c r="H63" s="8"/>
      <c r="I63" s="1"/>
      <c r="J63" s="1"/>
      <c r="M63" s="106"/>
      <c r="N63" s="79"/>
      <c r="O63" s="79"/>
    </row>
    <row r="64" spans="1:15" s="14" customFormat="1" ht="12.75" customHeight="1">
      <c r="A64" s="74" t="s">
        <v>136</v>
      </c>
      <c r="B64" s="19"/>
      <c r="C64" s="75"/>
      <c r="D64" s="103"/>
      <c r="E64" s="103"/>
      <c r="G64" s="8"/>
      <c r="H64" s="8"/>
      <c r="I64" s="19"/>
      <c r="J64" s="19"/>
      <c r="M64" s="106"/>
      <c r="N64" s="79"/>
      <c r="O64" s="79"/>
    </row>
    <row r="65" spans="1:15" s="14" customFormat="1" ht="12.75" customHeight="1">
      <c r="A65" s="60" t="s">
        <v>138</v>
      </c>
      <c r="B65" s="15"/>
      <c r="C65" s="8"/>
      <c r="D65" s="47"/>
      <c r="E65" s="80"/>
      <c r="F65" s="19"/>
      <c r="G65" s="110"/>
      <c r="H65" s="75"/>
      <c r="I65" s="75"/>
      <c r="J65" s="75"/>
      <c r="N65" s="79"/>
      <c r="O65" s="79"/>
    </row>
    <row r="66" spans="1:14" s="14" customFormat="1" ht="12.75" customHeight="1">
      <c r="A66" s="75"/>
      <c r="B66" s="8"/>
      <c r="C66" s="8"/>
      <c r="D66" s="47"/>
      <c r="E66" s="80"/>
      <c r="F66" s="75"/>
      <c r="G66" s="110"/>
      <c r="H66" s="1"/>
      <c r="I66" s="1"/>
      <c r="N66" s="79"/>
    </row>
    <row r="67" spans="2:14" s="14" customFormat="1" ht="12.75" customHeight="1">
      <c r="B67" s="8"/>
      <c r="C67" s="8"/>
      <c r="D67" s="47"/>
      <c r="E67" s="80"/>
      <c r="G67" s="8"/>
      <c r="H67" s="1"/>
      <c r="I67" s="1"/>
      <c r="N67" s="79"/>
    </row>
    <row r="68" spans="2:14" s="14" customFormat="1" ht="17.25">
      <c r="B68" s="8"/>
      <c r="C68" s="8"/>
      <c r="D68" s="47"/>
      <c r="E68" s="80"/>
      <c r="G68" s="34"/>
      <c r="H68" s="1"/>
      <c r="I68" s="1"/>
      <c r="N68" s="79"/>
    </row>
    <row r="69" spans="2:14" s="14" customFormat="1" ht="15.75">
      <c r="B69" s="32"/>
      <c r="C69" s="8"/>
      <c r="D69" s="47"/>
      <c r="E69" s="80"/>
      <c r="G69" s="1"/>
      <c r="H69" s="1"/>
      <c r="I69" s="1"/>
      <c r="N69" s="79"/>
    </row>
    <row r="70" spans="2:9" s="14" customFormat="1" ht="15.75">
      <c r="B70" s="77"/>
      <c r="C70" s="8"/>
      <c r="D70" s="47"/>
      <c r="E70" s="80"/>
      <c r="G70" s="8"/>
      <c r="H70" s="1"/>
      <c r="I70" s="1"/>
    </row>
    <row r="71" spans="2:9" s="14" customFormat="1" ht="15.75">
      <c r="B71" s="1"/>
      <c r="C71" s="8"/>
      <c r="D71" s="47"/>
      <c r="E71" s="80"/>
      <c r="G71" s="8"/>
      <c r="H71" s="1"/>
      <c r="I71" s="1"/>
    </row>
    <row r="72" spans="3:9" s="14" customFormat="1" ht="15.75">
      <c r="C72" s="1"/>
      <c r="D72" s="89"/>
      <c r="E72" s="80"/>
      <c r="G72" s="8"/>
      <c r="H72" s="1"/>
      <c r="I72" s="1"/>
    </row>
    <row r="73" spans="3:9" s="14" customFormat="1" ht="15.75">
      <c r="C73" s="1"/>
      <c r="D73" s="89"/>
      <c r="E73" s="80"/>
      <c r="G73" s="8"/>
      <c r="H73" s="1"/>
      <c r="I73" s="1"/>
    </row>
    <row r="74" spans="3:9" s="14" customFormat="1" ht="15.75">
      <c r="C74" s="8"/>
      <c r="D74" s="89"/>
      <c r="E74" s="80"/>
      <c r="G74" s="8"/>
      <c r="H74" s="1"/>
      <c r="I74" s="1"/>
    </row>
    <row r="75" spans="3:9" s="14" customFormat="1" ht="15.75">
      <c r="C75" s="8"/>
      <c r="D75" s="89"/>
      <c r="E75" s="80"/>
      <c r="G75" s="8"/>
      <c r="H75" s="1"/>
      <c r="I75" s="1"/>
    </row>
    <row r="76" spans="3:9" s="14" customFormat="1" ht="15.75">
      <c r="C76" s="8"/>
      <c r="D76" s="89"/>
      <c r="E76" s="80"/>
      <c r="G76" s="8"/>
      <c r="H76" s="1"/>
      <c r="I76" s="1"/>
    </row>
    <row r="77" spans="3:9" s="14" customFormat="1" ht="15.75">
      <c r="C77" s="8"/>
      <c r="D77" s="89"/>
      <c r="E77" s="80"/>
      <c r="G77" s="8"/>
      <c r="H77" s="1"/>
      <c r="I77" s="1"/>
    </row>
    <row r="78" spans="3:9" s="14" customFormat="1" ht="15.75">
      <c r="C78" s="8"/>
      <c r="D78" s="89"/>
      <c r="E78" s="80"/>
      <c r="G78" s="8"/>
      <c r="H78" s="1"/>
      <c r="I78" s="1"/>
    </row>
    <row r="79" spans="3:9" s="14" customFormat="1" ht="15.75">
      <c r="C79" s="8"/>
      <c r="D79" s="89"/>
      <c r="E79" s="80"/>
      <c r="G79" s="8"/>
      <c r="H79" s="1"/>
      <c r="I79" s="1"/>
    </row>
    <row r="80" spans="3:9" s="14" customFormat="1" ht="15.75">
      <c r="C80" s="8"/>
      <c r="D80" s="89"/>
      <c r="E80" s="80"/>
      <c r="G80" s="8"/>
      <c r="H80" s="1"/>
      <c r="I80" s="1"/>
    </row>
    <row r="81" spans="3:9" s="14" customFormat="1" ht="15.75">
      <c r="C81" s="8"/>
      <c r="D81" s="89"/>
      <c r="E81" s="80"/>
      <c r="H81" s="1"/>
      <c r="I81" s="1"/>
    </row>
    <row r="82" spans="3:9" s="14" customFormat="1" ht="15.75">
      <c r="C82" s="8"/>
      <c r="D82" s="89"/>
      <c r="E82" s="80"/>
      <c r="G82" s="22"/>
      <c r="H82" s="1"/>
      <c r="I82" s="1"/>
    </row>
    <row r="83" spans="3:7" ht="15.75">
      <c r="C83" s="35"/>
      <c r="G83" s="14"/>
    </row>
    <row r="84" spans="3:7" ht="12.75">
      <c r="C84" s="35"/>
      <c r="G84" s="8"/>
    </row>
    <row r="85" spans="3:7" ht="12.75">
      <c r="C85" s="35"/>
      <c r="G85" s="8"/>
    </row>
    <row r="86" spans="3:7" ht="12.75">
      <c r="C86" s="35"/>
      <c r="G86" s="8"/>
    </row>
    <row r="87" spans="3:7" ht="12.75">
      <c r="C87" s="35"/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16"/>
    </row>
    <row r="94" ht="12.75">
      <c r="G94" s="8"/>
    </row>
    <row r="95" ht="12.75">
      <c r="G95" s="16"/>
    </row>
    <row r="96" ht="12.75">
      <c r="G96" s="8"/>
    </row>
    <row r="97" ht="15.75">
      <c r="G97" s="14"/>
    </row>
    <row r="98" ht="12.75">
      <c r="G98" s="16"/>
    </row>
    <row r="99" ht="12.75">
      <c r="G99" s="16"/>
    </row>
    <row r="100" ht="15.75">
      <c r="G100" s="14"/>
    </row>
    <row r="101" ht="12.75">
      <c r="G101" s="22"/>
    </row>
    <row r="103" ht="12.75">
      <c r="G103" s="8"/>
    </row>
    <row r="104" ht="12.75">
      <c r="G104" s="11"/>
    </row>
    <row r="105" ht="12.75">
      <c r="G105" s="8"/>
    </row>
    <row r="106" ht="12.75">
      <c r="G106" s="8"/>
    </row>
    <row r="107" ht="12.75">
      <c r="G107" s="16"/>
    </row>
    <row r="108" ht="12.75">
      <c r="G108" s="16"/>
    </row>
    <row r="109" ht="12.75">
      <c r="G109" s="8"/>
    </row>
    <row r="110" ht="15.75">
      <c r="G110" s="14"/>
    </row>
    <row r="111" ht="12.75">
      <c r="G111" s="8"/>
    </row>
    <row r="112" ht="12.75">
      <c r="G112" s="10"/>
    </row>
  </sheetData>
  <printOptions horizontalCentered="1" verticalCentered="1"/>
  <pageMargins left="0.1968503937007874" right="0" top="0.1968503937007874" bottom="0" header="0.5118110236220472" footer="0"/>
  <pageSetup horizontalDpi="300" verticalDpi="300" orientation="portrait" scale="83" r:id="rId1"/>
  <colBreaks count="1" manualBreakCount="1">
    <brk id="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25" sqref="A25"/>
    </sheetView>
  </sheetViews>
  <sheetFormatPr defaultColWidth="9.33203125" defaultRowHeight="12.75"/>
  <cols>
    <col min="1" max="1" width="49.83203125" style="1" customWidth="1"/>
    <col min="2" max="3" width="15.83203125" style="1" customWidth="1"/>
    <col min="4" max="5" width="15.83203125" style="1" hidden="1" customWidth="1"/>
    <col min="6" max="6" width="12" style="48" customWidth="1"/>
    <col min="7" max="16384" width="12" style="1" customWidth="1"/>
  </cols>
  <sheetData>
    <row r="1" spans="1:4" ht="12.75">
      <c r="A1" s="1" t="s">
        <v>181</v>
      </c>
      <c r="D1" s="2"/>
    </row>
    <row r="2" spans="1:3" ht="12.75" customHeight="1">
      <c r="A2" s="3" t="s">
        <v>182</v>
      </c>
      <c r="B2" s="1" t="s">
        <v>221</v>
      </c>
      <c r="C2" s="1" t="s">
        <v>224</v>
      </c>
    </row>
    <row r="3" spans="1:6" s="14" customFormat="1" ht="12.75" customHeight="1">
      <c r="A3" s="3"/>
      <c r="B3" s="4"/>
      <c r="C3" s="1"/>
      <c r="D3" s="5"/>
      <c r="E3" s="1"/>
      <c r="F3" s="49"/>
    </row>
    <row r="4" spans="1:6" s="14" customFormat="1" ht="12.75" customHeight="1">
      <c r="A4" s="3"/>
      <c r="B4" s="4"/>
      <c r="C4" s="4"/>
      <c r="D4" s="4"/>
      <c r="E4" s="1"/>
      <c r="F4" s="49"/>
    </row>
    <row r="5" spans="1:6" s="14" customFormat="1" ht="8.25" customHeight="1">
      <c r="A5" s="1"/>
      <c r="B5" s="1"/>
      <c r="C5" s="1"/>
      <c r="D5" s="1"/>
      <c r="E5" s="1"/>
      <c r="F5" s="48"/>
    </row>
    <row r="6" spans="1:6" s="14" customFormat="1" ht="12.75" customHeight="1">
      <c r="A6" s="3" t="s">
        <v>67</v>
      </c>
      <c r="B6" s="4"/>
      <c r="C6" s="4"/>
      <c r="D6" s="4"/>
      <c r="E6" s="23"/>
      <c r="F6" s="50"/>
    </row>
    <row r="7" spans="1:6" s="14" customFormat="1" ht="12.75" customHeight="1" thickBot="1">
      <c r="A7" s="6" t="s">
        <v>204</v>
      </c>
      <c r="B7" s="6"/>
      <c r="C7" s="6"/>
      <c r="D7" s="6"/>
      <c r="E7" s="6"/>
      <c r="F7" s="51"/>
    </row>
    <row r="8" ht="13.5" thickTop="1">
      <c r="B8" s="1" t="s">
        <v>102</v>
      </c>
    </row>
    <row r="9" spans="2:4" ht="12.75">
      <c r="B9" s="4"/>
      <c r="D9" s="4" t="s">
        <v>156</v>
      </c>
    </row>
    <row r="10" spans="2:6" ht="12.75">
      <c r="B10" s="7">
        <v>2006</v>
      </c>
      <c r="C10" s="7">
        <v>2005</v>
      </c>
      <c r="D10" s="7">
        <v>2002</v>
      </c>
      <c r="E10" s="7">
        <v>2001</v>
      </c>
      <c r="F10" s="51"/>
    </row>
    <row r="11" spans="1:5" ht="12.75">
      <c r="A11" s="3" t="s">
        <v>68</v>
      </c>
      <c r="B11" s="10">
        <f>B12</f>
        <v>871725.42</v>
      </c>
      <c r="C11" s="10">
        <f>C12</f>
        <v>841959.32</v>
      </c>
      <c r="D11" s="10">
        <f>D12</f>
        <v>877274.53</v>
      </c>
      <c r="E11" s="10">
        <f>E12</f>
        <v>855655.55</v>
      </c>
    </row>
    <row r="12" spans="1:5" ht="12.75">
      <c r="A12" s="1" t="s">
        <v>124</v>
      </c>
      <c r="B12" s="9">
        <v>871725.42</v>
      </c>
      <c r="C12" s="9">
        <v>841959.32</v>
      </c>
      <c r="D12" s="9">
        <v>877274.53</v>
      </c>
      <c r="E12" s="9">
        <v>855655.55</v>
      </c>
    </row>
    <row r="13" spans="1:5" ht="12.75">
      <c r="A13" s="3" t="s">
        <v>69</v>
      </c>
      <c r="B13" s="10">
        <f>B12</f>
        <v>871725.42</v>
      </c>
      <c r="C13" s="10">
        <f>C12</f>
        <v>841959.32</v>
      </c>
      <c r="D13" s="10">
        <f>D12</f>
        <v>877274.53</v>
      </c>
      <c r="E13" s="10">
        <f>E12</f>
        <v>855655.55</v>
      </c>
    </row>
    <row r="14" spans="1:5" ht="12.75">
      <c r="A14" s="1" t="s">
        <v>70</v>
      </c>
      <c r="B14" s="12">
        <v>0</v>
      </c>
      <c r="C14" s="12">
        <v>0</v>
      </c>
      <c r="D14" s="12">
        <v>0</v>
      </c>
      <c r="E14" s="12">
        <v>0</v>
      </c>
    </row>
    <row r="15" spans="2:5" ht="12.75">
      <c r="B15" s="8"/>
      <c r="C15" s="8"/>
      <c r="D15" s="8"/>
      <c r="E15" s="8"/>
    </row>
    <row r="16" spans="1:5" ht="12.75">
      <c r="A16" s="1" t="s">
        <v>71</v>
      </c>
      <c r="B16" s="10">
        <f>B13</f>
        <v>871725.42</v>
      </c>
      <c r="C16" s="10">
        <f>C13</f>
        <v>841959.32</v>
      </c>
      <c r="D16" s="10">
        <f>D13</f>
        <v>877274.53</v>
      </c>
      <c r="E16" s="10">
        <f>E13</f>
        <v>855655.55</v>
      </c>
    </row>
    <row r="17" spans="2:5" ht="12.75">
      <c r="B17" s="8"/>
      <c r="C17" s="8"/>
      <c r="D17" s="8"/>
      <c r="E17" s="8"/>
    </row>
    <row r="18" spans="1:6" ht="12.75">
      <c r="A18" s="1" t="s">
        <v>72</v>
      </c>
      <c r="B18" s="13">
        <f>SUM(B19:B20)</f>
        <v>-2065254.31</v>
      </c>
      <c r="C18" s="13">
        <f>SUM(C19:C20)</f>
        <v>-1560445.61</v>
      </c>
      <c r="D18" s="13">
        <f>SUM(D19:D21)</f>
        <v>-1318724.71</v>
      </c>
      <c r="E18" s="13">
        <f>SUM(E19:E21)</f>
        <v>-4566863.33</v>
      </c>
      <c r="F18" s="56"/>
    </row>
    <row r="19" spans="1:6" ht="12.75" customHeight="1">
      <c r="A19" s="14" t="s">
        <v>73</v>
      </c>
      <c r="B19" s="8">
        <f>-289419.41-8023.51-7133.28-18797.42</f>
        <v>-323373.62</v>
      </c>
      <c r="C19" s="8">
        <f>-18713.36-60853.4-30229.06-14938.04-14280.04-551.92-145054.3-3459.24-7133.28-2843.1-3729.15-13384.7</f>
        <v>-315169.59</v>
      </c>
      <c r="D19" s="8">
        <f>-167721.09-56903.87-7133.28-45100.57-47315.2</f>
        <v>-324174.01</v>
      </c>
      <c r="E19" s="8">
        <v>-1284773.29</v>
      </c>
      <c r="F19" s="56"/>
    </row>
    <row r="20" spans="1:6" ht="12.75" customHeight="1">
      <c r="A20" s="14" t="s">
        <v>74</v>
      </c>
      <c r="B20" s="8">
        <v>-1741880.69</v>
      </c>
      <c r="C20" s="8">
        <f>-1245276.02</f>
        <v>-1245276.02</v>
      </c>
      <c r="D20" s="8">
        <v>-994550.7</v>
      </c>
      <c r="E20" s="8">
        <v>-3282090.04</v>
      </c>
      <c r="F20" s="57"/>
    </row>
    <row r="21" spans="1:5" ht="12.75" customHeight="1">
      <c r="A21" s="1" t="s">
        <v>220</v>
      </c>
      <c r="B21" s="16">
        <v>0</v>
      </c>
      <c r="C21" s="16">
        <v>-193726.17</v>
      </c>
      <c r="D21" s="16"/>
      <c r="E21" s="16">
        <v>0</v>
      </c>
    </row>
    <row r="22" spans="1:6" ht="12.75">
      <c r="A22" s="1" t="s">
        <v>76</v>
      </c>
      <c r="B22" s="16">
        <v>0</v>
      </c>
      <c r="C22" s="16">
        <v>0</v>
      </c>
      <c r="D22" s="8"/>
      <c r="E22" s="8"/>
      <c r="F22" s="57"/>
    </row>
    <row r="23" spans="1:6" ht="12.75">
      <c r="A23" s="1" t="s">
        <v>168</v>
      </c>
      <c r="B23" s="16">
        <v>0</v>
      </c>
      <c r="C23" s="16">
        <v>0</v>
      </c>
      <c r="D23" s="8">
        <v>68624.06</v>
      </c>
      <c r="E23" s="8">
        <v>111669.61</v>
      </c>
      <c r="F23" s="56"/>
    </row>
    <row r="24" spans="1:6" ht="12.75">
      <c r="A24" s="1" t="s">
        <v>77</v>
      </c>
      <c r="B24" s="8">
        <v>127573.07</v>
      </c>
      <c r="C24" s="8">
        <v>98410.57</v>
      </c>
      <c r="D24" s="8">
        <v>18878.14</v>
      </c>
      <c r="E24" s="8">
        <v>15607.53</v>
      </c>
      <c r="F24" s="56"/>
    </row>
    <row r="25" spans="1:6" ht="12.75">
      <c r="A25" s="1" t="s">
        <v>212</v>
      </c>
      <c r="B25" s="16">
        <v>0</v>
      </c>
      <c r="C25" s="16">
        <v>0</v>
      </c>
      <c r="D25" s="8">
        <v>-2602407.64</v>
      </c>
      <c r="E25" s="8"/>
      <c r="F25" s="56"/>
    </row>
    <row r="26" spans="1:6" ht="12.75">
      <c r="A26" s="1" t="s">
        <v>192</v>
      </c>
      <c r="B26" s="16">
        <v>0</v>
      </c>
      <c r="C26" s="16">
        <v>0</v>
      </c>
      <c r="D26" s="8"/>
      <c r="E26" s="8"/>
      <c r="F26" s="56"/>
    </row>
    <row r="27" spans="2:6" ht="12.75">
      <c r="B27" s="8"/>
      <c r="C27" s="8"/>
      <c r="D27" s="8"/>
      <c r="E27" s="8"/>
      <c r="F27" s="56"/>
    </row>
    <row r="28" spans="1:6" ht="12.75">
      <c r="A28" s="1" t="s">
        <v>78</v>
      </c>
      <c r="B28" s="8">
        <f>B16+B18+B24+B23+B25+B22+B26+B21</f>
        <v>-1065955.82</v>
      </c>
      <c r="C28" s="8">
        <f>C16+C18+C24+C23+C25+C22+C26+C21</f>
        <v>-813801.8900000002</v>
      </c>
      <c r="D28" s="8">
        <f>D16+D18+D24+D23+D25+D22</f>
        <v>-2956355.62</v>
      </c>
      <c r="E28" s="8">
        <f>E16+E18+E24+E23+E25+E22</f>
        <v>-3583930.6400000006</v>
      </c>
      <c r="F28" s="56"/>
    </row>
    <row r="29" spans="2:6" ht="12.75">
      <c r="B29" s="8"/>
      <c r="C29" s="8"/>
      <c r="D29" s="8"/>
      <c r="E29" s="8"/>
      <c r="F29" s="56"/>
    </row>
    <row r="30" spans="1:6" ht="12.75">
      <c r="A30" s="1" t="s">
        <v>79</v>
      </c>
      <c r="B30" s="16">
        <v>23735.12</v>
      </c>
      <c r="C30" s="16">
        <f>179067.48+3160581.75</f>
        <v>3339649.23</v>
      </c>
      <c r="D30" s="8">
        <v>101300.43</v>
      </c>
      <c r="E30" s="8">
        <v>590805.7</v>
      </c>
      <c r="F30" s="57"/>
    </row>
    <row r="31" spans="1:6" ht="12.75">
      <c r="A31" s="1" t="s">
        <v>80</v>
      </c>
      <c r="B31" s="12">
        <v>-25266.72</v>
      </c>
      <c r="C31" s="12">
        <v>-69690.28</v>
      </c>
      <c r="D31" s="13">
        <f>-74677.86</f>
        <v>-74677.86</v>
      </c>
      <c r="E31" s="13">
        <v>-650505.68</v>
      </c>
      <c r="F31" s="57"/>
    </row>
    <row r="32" spans="1:6" ht="12.75">
      <c r="A32" s="1" t="s">
        <v>81</v>
      </c>
      <c r="B32" s="8">
        <f>B28+B30+B31</f>
        <v>-1067487.4200000002</v>
      </c>
      <c r="C32" s="8">
        <f>C28+C30+C31</f>
        <v>2456157.06</v>
      </c>
      <c r="D32" s="8">
        <f>D28+D30+D31</f>
        <v>-2929733.05</v>
      </c>
      <c r="E32" s="8">
        <f>E28+E30+E31</f>
        <v>-3643630.6200000006</v>
      </c>
      <c r="F32" s="56"/>
    </row>
    <row r="33" spans="2:5" ht="12.75">
      <c r="B33" s="8"/>
      <c r="C33" s="8"/>
      <c r="D33" s="8"/>
      <c r="E33" s="8"/>
    </row>
    <row r="34" spans="1:5" ht="12.75">
      <c r="A34" s="1" t="s">
        <v>82</v>
      </c>
      <c r="B34" s="16">
        <v>0</v>
      </c>
      <c r="C34" s="16">
        <v>-523252.02</v>
      </c>
      <c r="D34" s="16">
        <v>0</v>
      </c>
      <c r="E34" s="16">
        <v>0</v>
      </c>
    </row>
    <row r="35" spans="1:5" ht="12.75">
      <c r="A35" s="1" t="s">
        <v>83</v>
      </c>
      <c r="B35" s="8"/>
      <c r="C35" s="8"/>
      <c r="D35" s="8"/>
      <c r="E35" s="8"/>
    </row>
    <row r="36" spans="1:6" ht="12.75" customHeight="1">
      <c r="A36" s="14" t="s">
        <v>84</v>
      </c>
      <c r="B36" s="16">
        <v>0</v>
      </c>
      <c r="C36" s="16">
        <v>0</v>
      </c>
      <c r="D36" s="16">
        <v>0</v>
      </c>
      <c r="E36" s="16">
        <v>0</v>
      </c>
      <c r="F36" s="82"/>
    </row>
    <row r="37" spans="2:6" ht="12.75">
      <c r="B37" s="8"/>
      <c r="C37" s="8"/>
      <c r="D37" s="8"/>
      <c r="E37" s="8"/>
      <c r="F37" s="82"/>
    </row>
    <row r="38" spans="1:6" ht="12.75">
      <c r="A38" s="1" t="s">
        <v>85</v>
      </c>
      <c r="B38" s="18">
        <f>B32+B34</f>
        <v>-1067487.4200000002</v>
      </c>
      <c r="C38" s="18">
        <f>C32+C34</f>
        <v>1932905.04</v>
      </c>
      <c r="D38" s="18">
        <f>D32</f>
        <v>-2929733.05</v>
      </c>
      <c r="E38" s="18">
        <f>E32</f>
        <v>-3643630.6200000006</v>
      </c>
      <c r="F38" s="58"/>
    </row>
    <row r="39" spans="2:6" ht="12.75">
      <c r="B39" s="8"/>
      <c r="C39" s="8"/>
      <c r="D39" s="8"/>
      <c r="E39" s="8"/>
      <c r="F39" s="58"/>
    </row>
    <row r="40" spans="1:6" ht="12.75">
      <c r="A40" s="1" t="s">
        <v>86</v>
      </c>
      <c r="B40" s="8">
        <f>B38/59993060</f>
        <v>-0.01779351511658182</v>
      </c>
      <c r="C40" s="8">
        <f>C38/59993060</f>
        <v>0.03221881064243098</v>
      </c>
      <c r="D40" s="8"/>
      <c r="E40" s="8"/>
      <c r="F40" s="82"/>
    </row>
    <row r="41" spans="2:6" ht="12.75">
      <c r="B41" s="8"/>
      <c r="C41" s="8"/>
      <c r="D41" s="8"/>
      <c r="F41" s="82"/>
    </row>
    <row r="42" spans="1:6" ht="12.75">
      <c r="A42" s="1" t="s">
        <v>205</v>
      </c>
      <c r="B42" s="8"/>
      <c r="C42" s="8"/>
      <c r="D42" s="8"/>
      <c r="F42" s="82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1:4" ht="13.5">
      <c r="A46" s="1" t="s">
        <v>174</v>
      </c>
      <c r="B46" s="19" t="s">
        <v>144</v>
      </c>
      <c r="C46" s="8"/>
      <c r="D46" s="8"/>
    </row>
    <row r="47" spans="1:4" ht="12.75">
      <c r="A47" s="1" t="s">
        <v>175</v>
      </c>
      <c r="B47" s="8" t="s">
        <v>176</v>
      </c>
      <c r="C47" s="8"/>
      <c r="D47" s="8"/>
    </row>
    <row r="48" spans="2:4" ht="12.75">
      <c r="B48" s="8"/>
      <c r="C48" s="8"/>
      <c r="D48" s="8"/>
    </row>
    <row r="49" spans="2:4" ht="12.75">
      <c r="B49" s="108"/>
      <c r="C49" s="8"/>
      <c r="D49" s="8"/>
    </row>
    <row r="50" spans="2:4" ht="12.75">
      <c r="B50" s="8"/>
      <c r="C50" s="8"/>
      <c r="D50" s="8"/>
    </row>
    <row r="51" spans="1:2" ht="13.5">
      <c r="A51" s="20" t="s">
        <v>133</v>
      </c>
      <c r="B51" s="20"/>
    </row>
    <row r="52" spans="1:2" ht="12.75">
      <c r="A52" s="3" t="s">
        <v>134</v>
      </c>
      <c r="B52" s="3"/>
    </row>
    <row r="53" spans="2:4" ht="12.75">
      <c r="B53" s="8"/>
      <c r="C53" s="8"/>
      <c r="D53" s="8"/>
    </row>
    <row r="54" spans="2:4" ht="12.75">
      <c r="B54" s="8"/>
      <c r="C54" s="8"/>
      <c r="D54" s="8"/>
    </row>
    <row r="55" spans="2:4" ht="12.75">
      <c r="B55" s="8"/>
      <c r="C55" s="8"/>
      <c r="D55" s="8"/>
    </row>
    <row r="56" spans="2:4" ht="12.75">
      <c r="B56" s="8"/>
      <c r="C56" s="8"/>
      <c r="D56" s="8"/>
    </row>
    <row r="57" spans="2:4" ht="12.75">
      <c r="B57" s="8"/>
      <c r="C57" s="8"/>
      <c r="D57" s="8"/>
    </row>
    <row r="58" spans="2:4" ht="12.75">
      <c r="B58" s="8"/>
      <c r="C58" s="8"/>
      <c r="D58" s="8"/>
    </row>
    <row r="59" spans="2:4" ht="12.75">
      <c r="B59" s="8"/>
      <c r="C59" s="8"/>
      <c r="D59" s="8"/>
    </row>
    <row r="62" ht="12.75">
      <c r="B62" s="10"/>
    </row>
    <row r="63" ht="12.75">
      <c r="B63" s="9"/>
    </row>
    <row r="64" ht="12.75">
      <c r="B64" s="10"/>
    </row>
    <row r="65" ht="12.75">
      <c r="B65" s="44"/>
    </row>
    <row r="66" ht="12.75">
      <c r="B66" s="8"/>
    </row>
    <row r="67" ht="12.75">
      <c r="B67" s="10"/>
    </row>
    <row r="68" ht="12.75">
      <c r="B68" s="8"/>
    </row>
    <row r="69" ht="12.75">
      <c r="B69" s="11"/>
    </row>
    <row r="70" ht="12.75">
      <c r="B70" s="8"/>
    </row>
    <row r="71" ht="12.75">
      <c r="B71" s="8"/>
    </row>
    <row r="72" ht="12.75">
      <c r="B72" s="16"/>
    </row>
    <row r="73" ht="12.75">
      <c r="B73" s="8"/>
    </row>
    <row r="74" ht="12.75">
      <c r="B74" s="16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45"/>
    </row>
    <row r="82" ht="12.75">
      <c r="B82" s="8"/>
    </row>
    <row r="83" ht="12.75">
      <c r="B83" s="8"/>
    </row>
    <row r="84" ht="12.75">
      <c r="B84" s="16"/>
    </row>
    <row r="85" ht="12.75">
      <c r="B85" s="8"/>
    </row>
    <row r="86" ht="12.75">
      <c r="B86" s="16"/>
    </row>
    <row r="87" ht="12.75">
      <c r="B87" s="8"/>
    </row>
    <row r="88" ht="12.75">
      <c r="B88" s="18"/>
    </row>
    <row r="89" ht="12.75">
      <c r="B89" s="8"/>
    </row>
    <row r="90" ht="12.75">
      <c r="B90" s="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view="pageBreakPreview" zoomScaleSheetLayoutView="100" workbookViewId="0" topLeftCell="A1">
      <selection activeCell="B3" sqref="B3"/>
    </sheetView>
  </sheetViews>
  <sheetFormatPr defaultColWidth="9.33203125" defaultRowHeight="12.75"/>
  <cols>
    <col min="1" max="1" width="50" style="1" customWidth="1"/>
    <col min="2" max="3" width="17.33203125" style="1" customWidth="1"/>
    <col min="4" max="5" width="17.33203125" style="1" hidden="1" customWidth="1"/>
    <col min="6" max="6" width="12" style="48" customWidth="1"/>
    <col min="7" max="16384" width="12" style="1" customWidth="1"/>
  </cols>
  <sheetData>
    <row r="1" spans="1:4" ht="12.75">
      <c r="A1" s="1" t="s">
        <v>181</v>
      </c>
      <c r="D1" s="2"/>
    </row>
    <row r="2" spans="1:3" ht="12.75" customHeight="1">
      <c r="A2" s="3" t="s">
        <v>182</v>
      </c>
      <c r="B2" s="1" t="s">
        <v>221</v>
      </c>
      <c r="C2" s="1" t="s">
        <v>225</v>
      </c>
    </row>
    <row r="3" spans="1:6" s="14" customFormat="1" ht="12.75" customHeight="1">
      <c r="A3" s="3"/>
      <c r="B3" s="4"/>
      <c r="C3" s="1"/>
      <c r="D3" s="5"/>
      <c r="E3" s="1"/>
      <c r="F3" s="49"/>
    </row>
    <row r="4" spans="1:6" s="14" customFormat="1" ht="12.75" customHeight="1">
      <c r="A4" s="3"/>
      <c r="B4" s="4"/>
      <c r="C4" s="4"/>
      <c r="D4" s="4"/>
      <c r="E4" s="1"/>
      <c r="F4" s="49"/>
    </row>
    <row r="5" spans="1:6" s="14" customFormat="1" ht="8.25" customHeight="1">
      <c r="A5" s="1"/>
      <c r="B5" s="1"/>
      <c r="C5" s="1"/>
      <c r="D5" s="1"/>
      <c r="E5" s="1"/>
      <c r="F5" s="48"/>
    </row>
    <row r="6" spans="1:6" s="14" customFormat="1" ht="12.75" customHeight="1">
      <c r="A6" s="3" t="s">
        <v>48</v>
      </c>
      <c r="B6" s="4"/>
      <c r="C6" s="4"/>
      <c r="D6" s="4"/>
      <c r="E6" s="23"/>
      <c r="F6" s="50"/>
    </row>
    <row r="7" spans="1:6" s="14" customFormat="1" ht="12.75" customHeight="1" thickBot="1">
      <c r="A7" s="6" t="s">
        <v>206</v>
      </c>
      <c r="B7" s="6"/>
      <c r="C7" s="6"/>
      <c r="D7" s="6"/>
      <c r="E7" s="6"/>
      <c r="F7" s="51"/>
    </row>
    <row r="8" ht="13.5" thickTop="1">
      <c r="B8" s="1" t="s">
        <v>49</v>
      </c>
    </row>
    <row r="9" spans="2:4" ht="12.75">
      <c r="B9" s="4"/>
      <c r="D9" s="4" t="s">
        <v>156</v>
      </c>
    </row>
    <row r="10" spans="1:5" ht="12.75">
      <c r="A10" s="3" t="s">
        <v>50</v>
      </c>
      <c r="B10" s="28">
        <v>2006</v>
      </c>
      <c r="C10" s="28">
        <v>2005</v>
      </c>
      <c r="D10" s="28">
        <v>2002</v>
      </c>
      <c r="E10" s="28">
        <v>2001</v>
      </c>
    </row>
    <row r="11" spans="1:6" ht="12.75">
      <c r="A11" s="1" t="s">
        <v>51</v>
      </c>
      <c r="B11" s="8">
        <f>'Demres.'!B38</f>
        <v>-1067487.4200000002</v>
      </c>
      <c r="C11" s="8">
        <f>'Demres.'!C38</f>
        <v>1932905.04</v>
      </c>
      <c r="D11" s="8">
        <v>-2929733.05</v>
      </c>
      <c r="E11" s="8">
        <v>-3643630.62</v>
      </c>
      <c r="F11" s="88"/>
    </row>
    <row r="12" spans="1:5" ht="12.75">
      <c r="A12" s="3" t="s">
        <v>52</v>
      </c>
      <c r="B12" s="8"/>
      <c r="C12" s="8"/>
      <c r="D12" s="8"/>
      <c r="E12" s="8"/>
    </row>
    <row r="13" spans="1:6" ht="12.75">
      <c r="A13" s="1" t="s">
        <v>53</v>
      </c>
      <c r="B13" s="47">
        <f>448610.32+17672.95</f>
        <v>466283.27</v>
      </c>
      <c r="C13" s="47">
        <f>423217.52+13108.68</f>
        <v>436326.2</v>
      </c>
      <c r="D13" s="8">
        <v>379421.73</v>
      </c>
      <c r="E13" s="8">
        <v>339425.86</v>
      </c>
      <c r="F13" s="88"/>
    </row>
    <row r="14" spans="1:6" ht="12.75">
      <c r="A14" s="1" t="s">
        <v>54</v>
      </c>
      <c r="B14" s="8">
        <v>0</v>
      </c>
      <c r="C14" s="8">
        <v>0</v>
      </c>
      <c r="D14" s="8"/>
      <c r="E14" s="8"/>
      <c r="F14" s="88"/>
    </row>
    <row r="15" spans="1:6" ht="12.75">
      <c r="A15" s="1" t="s">
        <v>199</v>
      </c>
      <c r="B15" s="8">
        <f>-'B.Patr.'!H36+'B.Patr.'!G36</f>
        <v>5016326</v>
      </c>
      <c r="C15" s="8">
        <v>8946000</v>
      </c>
      <c r="D15" s="8"/>
      <c r="E15" s="8"/>
      <c r="F15" s="88"/>
    </row>
    <row r="16" spans="1:6" ht="12.75">
      <c r="A16" s="1" t="s">
        <v>198</v>
      </c>
      <c r="B16" s="8">
        <v>0</v>
      </c>
      <c r="C16" s="8">
        <v>229473.08</v>
      </c>
      <c r="D16" s="8"/>
      <c r="E16" s="8"/>
      <c r="F16" s="88"/>
    </row>
    <row r="17" spans="1:5" ht="12.75">
      <c r="A17" s="3" t="s">
        <v>140</v>
      </c>
      <c r="B17" s="8"/>
      <c r="C17" s="8"/>
      <c r="D17" s="8"/>
      <c r="E17" s="8"/>
    </row>
    <row r="18" spans="1:5" ht="12.75">
      <c r="A18" s="1" t="s">
        <v>141</v>
      </c>
      <c r="B18" s="8">
        <v>0</v>
      </c>
      <c r="C18" s="8">
        <v>0</v>
      </c>
      <c r="D18" s="8"/>
      <c r="E18" s="8">
        <v>6000000</v>
      </c>
    </row>
    <row r="19" spans="1:5" ht="12.75">
      <c r="A19" s="3" t="s">
        <v>55</v>
      </c>
      <c r="B19" s="15"/>
      <c r="C19" s="15"/>
      <c r="D19" s="15"/>
      <c r="E19" s="15"/>
    </row>
    <row r="20" spans="1:6" ht="12.75">
      <c r="A20" s="1" t="s">
        <v>139</v>
      </c>
      <c r="B20" s="8">
        <f>'B.Patr.'!G24-'B.Patr.'!H24</f>
        <v>2869260.5399999917</v>
      </c>
      <c r="C20" s="8">
        <v>15048578.85</v>
      </c>
      <c r="D20" s="8">
        <v>9791161</v>
      </c>
      <c r="E20" s="8">
        <v>20382682.99</v>
      </c>
      <c r="F20" s="88"/>
    </row>
    <row r="21" spans="1:6" ht="12.75">
      <c r="A21" s="1" t="s">
        <v>56</v>
      </c>
      <c r="B21" s="47">
        <v>0</v>
      </c>
      <c r="C21" s="47">
        <v>0</v>
      </c>
      <c r="D21" s="8">
        <v>10000</v>
      </c>
      <c r="E21" s="8">
        <v>1040063.8</v>
      </c>
      <c r="F21" s="88"/>
    </row>
    <row r="22" spans="1:5" ht="12.75">
      <c r="A22" s="1" t="s">
        <v>200</v>
      </c>
      <c r="B22" s="8">
        <v>0</v>
      </c>
      <c r="C22" s="8">
        <v>239418.25</v>
      </c>
      <c r="D22" s="8"/>
      <c r="E22" s="8"/>
    </row>
    <row r="23" spans="1:6" ht="12.75">
      <c r="A23" s="3" t="s">
        <v>57</v>
      </c>
      <c r="B23" s="10">
        <f>SUM(B11:B22)</f>
        <v>7284382.389999991</v>
      </c>
      <c r="C23" s="10">
        <f>SUM(C11:C22)</f>
        <v>26832701.42</v>
      </c>
      <c r="D23" s="10">
        <f>SUM(D11:D21)</f>
        <v>7250849.68</v>
      </c>
      <c r="E23" s="10">
        <f>SUM(E11:E21)</f>
        <v>24118542.029999997</v>
      </c>
      <c r="F23" s="88"/>
    </row>
    <row r="24" spans="1:5" ht="12.75">
      <c r="A24" s="3" t="s">
        <v>166</v>
      </c>
      <c r="B24" s="8"/>
      <c r="C24" s="8"/>
      <c r="D24" s="8"/>
      <c r="E24" s="8"/>
    </row>
    <row r="25" spans="1:6" ht="12.75">
      <c r="A25" s="1" t="s">
        <v>58</v>
      </c>
      <c r="B25" s="8">
        <f>'B.Patr.'!B29-'B.Patr.'!C29</f>
        <v>19959552.96000001</v>
      </c>
      <c r="C25" s="8">
        <v>13881302.53</v>
      </c>
      <c r="D25" s="8">
        <v>22964148.07</v>
      </c>
      <c r="E25" s="8">
        <v>37946788.89</v>
      </c>
      <c r="F25" s="88"/>
    </row>
    <row r="26" spans="1:5" ht="12.75">
      <c r="A26" s="1" t="s">
        <v>125</v>
      </c>
      <c r="B26" s="8">
        <v>0</v>
      </c>
      <c r="C26" s="8">
        <v>0</v>
      </c>
      <c r="D26" s="8"/>
      <c r="E26" s="8"/>
    </row>
    <row r="27" spans="1:5" ht="12.75">
      <c r="A27" s="1" t="s">
        <v>169</v>
      </c>
      <c r="B27" s="8">
        <v>0</v>
      </c>
      <c r="C27" s="8">
        <v>0</v>
      </c>
      <c r="D27" s="8"/>
      <c r="E27" s="8">
        <v>111669.61</v>
      </c>
    </row>
    <row r="28" spans="1:6" ht="12.75">
      <c r="A28" s="1" t="s">
        <v>59</v>
      </c>
      <c r="B28" s="8">
        <f>68345.95+21340</f>
        <v>89685.95</v>
      </c>
      <c r="C28" s="8">
        <f>16664+29621.38+263665.48</f>
        <v>309950.86</v>
      </c>
      <c r="D28" s="8">
        <v>593839.5</v>
      </c>
      <c r="E28" s="8">
        <v>193448.51</v>
      </c>
      <c r="F28" s="88"/>
    </row>
    <row r="29" spans="2:5" ht="12.75">
      <c r="B29" s="8"/>
      <c r="C29" s="8"/>
      <c r="D29" s="8"/>
      <c r="E29" s="8"/>
    </row>
    <row r="30" spans="1:6" ht="12.75">
      <c r="A30" s="3" t="s">
        <v>60</v>
      </c>
      <c r="B30" s="10">
        <f>SUM(B25:B29)</f>
        <v>20049238.910000008</v>
      </c>
      <c r="C30" s="10">
        <f>SUM(C25:C29)</f>
        <v>14191253.389999999</v>
      </c>
      <c r="D30" s="10">
        <f>SUM(D25:D29)</f>
        <v>23557987.57</v>
      </c>
      <c r="E30" s="10">
        <f>SUM(E25:E29)</f>
        <v>38251907.01</v>
      </c>
      <c r="F30" s="88"/>
    </row>
    <row r="31" spans="1:6" ht="12.75">
      <c r="A31" s="3" t="s">
        <v>61</v>
      </c>
      <c r="B31" s="10">
        <f>B23-B30</f>
        <v>-12764856.520000016</v>
      </c>
      <c r="C31" s="10">
        <f>C23-C30</f>
        <v>12641448.030000003</v>
      </c>
      <c r="D31" s="10">
        <f>D23-D30</f>
        <v>-16307137.89</v>
      </c>
      <c r="E31" s="10">
        <f>E23-E30</f>
        <v>-14133364.98</v>
      </c>
      <c r="F31" s="88"/>
    </row>
    <row r="32" spans="1:5" ht="12.75">
      <c r="A32" s="3" t="s">
        <v>62</v>
      </c>
      <c r="B32" s="8"/>
      <c r="C32" s="8"/>
      <c r="D32" s="8"/>
      <c r="E32" s="8"/>
    </row>
    <row r="33" spans="1:5" ht="12.75">
      <c r="A33" s="3" t="s">
        <v>63</v>
      </c>
      <c r="B33" s="8"/>
      <c r="C33" s="8"/>
      <c r="D33" s="8"/>
      <c r="E33" s="8"/>
    </row>
    <row r="34" spans="1:11" ht="12.75">
      <c r="A34" s="1" t="s">
        <v>64</v>
      </c>
      <c r="B34" s="8">
        <f>C35</f>
        <v>1224928.3699999999</v>
      </c>
      <c r="C34" s="8">
        <v>1459120.44</v>
      </c>
      <c r="D34" s="8">
        <v>1515320.1</v>
      </c>
      <c r="E34" s="8">
        <v>1164793.82</v>
      </c>
      <c r="F34" s="88"/>
      <c r="G34" s="78"/>
      <c r="H34" s="78"/>
      <c r="I34" s="78"/>
      <c r="J34" s="78"/>
      <c r="K34" s="78"/>
    </row>
    <row r="35" spans="1:11" ht="12.75">
      <c r="A35" s="1" t="s">
        <v>65</v>
      </c>
      <c r="B35" s="13">
        <f>'B.Patr.'!B9</f>
        <v>1374586.6300000001</v>
      </c>
      <c r="C35" s="13">
        <f>'B.Patr.'!C9</f>
        <v>1224928.3699999999</v>
      </c>
      <c r="D35" s="8">
        <v>1274548.55</v>
      </c>
      <c r="E35" s="8">
        <v>1515320.1</v>
      </c>
      <c r="G35" s="78"/>
      <c r="H35" s="78"/>
      <c r="I35" s="78"/>
      <c r="J35" s="78"/>
      <c r="K35" s="78"/>
    </row>
    <row r="36" spans="2:11" ht="12.75">
      <c r="B36" s="8">
        <f>-B34+B35</f>
        <v>149658.26000000024</v>
      </c>
      <c r="C36" s="8">
        <f>-C34+C35</f>
        <v>-234192.07000000007</v>
      </c>
      <c r="D36" s="8"/>
      <c r="E36" s="8"/>
      <c r="G36" s="78"/>
      <c r="H36" s="78"/>
      <c r="I36" s="78"/>
      <c r="J36" s="78"/>
      <c r="K36" s="78"/>
    </row>
    <row r="37" spans="1:11" ht="12.75">
      <c r="A37" s="3" t="s">
        <v>66</v>
      </c>
      <c r="B37" s="8"/>
      <c r="C37" s="8"/>
      <c r="D37" s="8"/>
      <c r="E37" s="8"/>
      <c r="G37" s="78"/>
      <c r="H37" s="78"/>
      <c r="I37" s="78"/>
      <c r="J37" s="78"/>
      <c r="K37" s="78"/>
    </row>
    <row r="38" spans="1:11" ht="12.75">
      <c r="A38" s="1" t="s">
        <v>64</v>
      </c>
      <c r="B38" s="8">
        <f>C39</f>
        <v>60992243.65999999</v>
      </c>
      <c r="C38" s="8">
        <v>73867883.76</v>
      </c>
      <c r="D38" s="8">
        <v>39128841.42</v>
      </c>
      <c r="E38" s="8">
        <v>24644950.16</v>
      </c>
      <c r="G38" s="78"/>
      <c r="H38" s="78"/>
      <c r="I38" s="78"/>
      <c r="J38" s="78"/>
      <c r="K38" s="78"/>
    </row>
    <row r="39" spans="1:11" ht="12.75">
      <c r="A39" s="1" t="s">
        <v>65</v>
      </c>
      <c r="B39" s="13">
        <f>'B.Patr.'!G9</f>
        <v>73906758.44</v>
      </c>
      <c r="C39" s="13">
        <f>'B.Patr.'!H9</f>
        <v>60992243.65999999</v>
      </c>
      <c r="D39" s="8">
        <v>55195207.76</v>
      </c>
      <c r="E39" s="8">
        <v>39128841.42</v>
      </c>
      <c r="F39" s="88"/>
      <c r="G39" s="78"/>
      <c r="H39" s="78"/>
      <c r="I39" s="78"/>
      <c r="J39" s="78"/>
      <c r="K39" s="78"/>
    </row>
    <row r="40" spans="2:11" ht="12.75">
      <c r="B40" s="8">
        <f>-B38+B39</f>
        <v>12914514.780000009</v>
      </c>
      <c r="C40" s="8">
        <f>-C38+C39</f>
        <v>-12875640.100000016</v>
      </c>
      <c r="D40" s="8"/>
      <c r="E40" s="8"/>
      <c r="F40" s="88"/>
      <c r="G40" s="78"/>
      <c r="H40" s="78"/>
      <c r="I40" s="78"/>
      <c r="J40" s="78"/>
      <c r="K40" s="78"/>
    </row>
    <row r="41" spans="2:11" ht="12.75">
      <c r="B41" s="8"/>
      <c r="C41" s="8"/>
      <c r="D41" s="8"/>
      <c r="E41" s="8"/>
      <c r="G41" s="78"/>
      <c r="H41" s="78"/>
      <c r="I41" s="78"/>
      <c r="J41" s="78"/>
      <c r="K41" s="78"/>
    </row>
    <row r="42" spans="1:11" ht="12.75">
      <c r="A42" s="3" t="s">
        <v>172</v>
      </c>
      <c r="B42" s="10">
        <f>B36-B40</f>
        <v>-12764856.520000009</v>
      </c>
      <c r="C42" s="10">
        <f>C36-C40</f>
        <v>12641448.030000016</v>
      </c>
      <c r="D42" s="10">
        <f>-D34+D35+D38-D39</f>
        <v>-16307137.889999993</v>
      </c>
      <c r="E42" s="10">
        <f>-E34+E35+E38-E39</f>
        <v>-14133364.98</v>
      </c>
      <c r="F42" s="88"/>
      <c r="G42" s="78"/>
      <c r="H42" s="78"/>
      <c r="I42" s="78"/>
      <c r="J42" s="78"/>
      <c r="K42" s="78"/>
    </row>
    <row r="43" spans="2:11" ht="12.75">
      <c r="B43" s="8"/>
      <c r="C43" s="8"/>
      <c r="D43" s="8"/>
      <c r="E43" s="8"/>
      <c r="F43" s="8"/>
      <c r="G43" s="78"/>
      <c r="H43" s="78"/>
      <c r="I43" s="78"/>
      <c r="J43" s="78"/>
      <c r="K43" s="78"/>
    </row>
    <row r="44" spans="2:3" ht="12.75">
      <c r="B44" s="8"/>
      <c r="C44" s="8"/>
    </row>
    <row r="45" spans="1:3" ht="12.75">
      <c r="A45" s="1" t="s">
        <v>205</v>
      </c>
      <c r="B45" s="8"/>
      <c r="C45" s="8"/>
    </row>
    <row r="46" spans="2:7" ht="12.75">
      <c r="B46" s="8"/>
      <c r="C46" s="8"/>
      <c r="G46" s="8"/>
    </row>
    <row r="47" ht="12.75">
      <c r="G47" s="8"/>
    </row>
    <row r="48" spans="2:4" ht="12.75">
      <c r="B48" s="8"/>
      <c r="C48" s="8"/>
      <c r="D48" s="8"/>
    </row>
    <row r="49" spans="1:4" ht="13.5">
      <c r="A49" s="1" t="s">
        <v>174</v>
      </c>
      <c r="B49" s="19" t="s">
        <v>144</v>
      </c>
      <c r="C49" s="8"/>
      <c r="D49" s="8"/>
    </row>
    <row r="50" spans="1:4" ht="12.75">
      <c r="A50" s="1" t="s">
        <v>175</v>
      </c>
      <c r="B50" s="8" t="s">
        <v>176</v>
      </c>
      <c r="C50" s="8"/>
      <c r="D50" s="8"/>
    </row>
    <row r="51" spans="2:4" ht="12.75">
      <c r="B51" s="8"/>
      <c r="C51" s="8"/>
      <c r="D51" s="8"/>
    </row>
    <row r="52" ht="12.75">
      <c r="B52" s="8"/>
    </row>
    <row r="53" spans="1:2" ht="13.5">
      <c r="A53" s="20" t="s">
        <v>142</v>
      </c>
      <c r="B53" s="20"/>
    </row>
    <row r="54" spans="1:2" ht="12.75">
      <c r="A54" s="3" t="s">
        <v>143</v>
      </c>
      <c r="B54" s="3"/>
    </row>
    <row r="55" spans="3:4" ht="12.75">
      <c r="C55" s="8"/>
      <c r="D55" s="8"/>
    </row>
    <row r="56" spans="3:4" ht="12.75">
      <c r="C56" s="8"/>
      <c r="D56" s="8"/>
    </row>
    <row r="57" spans="2:4" ht="12.75">
      <c r="B57" s="8"/>
      <c r="C57" s="8"/>
      <c r="D57" s="8"/>
    </row>
    <row r="58" spans="2:4" ht="12.75">
      <c r="B58" s="8"/>
      <c r="C58" s="8"/>
      <c r="D58" s="8"/>
    </row>
    <row r="59" spans="2:4" ht="12.75">
      <c r="B59" s="8"/>
      <c r="C59" s="8"/>
      <c r="D59" s="8"/>
    </row>
    <row r="60" spans="2:4" ht="12.75">
      <c r="B60" s="8"/>
      <c r="C60" s="8"/>
      <c r="D60" s="8"/>
    </row>
    <row r="61" spans="2:4" ht="12.75">
      <c r="B61" s="8"/>
      <c r="C61" s="8"/>
      <c r="D61" s="8"/>
    </row>
    <row r="62" spans="2:4" ht="12.75">
      <c r="B62" s="8"/>
      <c r="C62" s="8"/>
      <c r="D62" s="8"/>
    </row>
    <row r="63" spans="2:4" ht="12.75">
      <c r="B63" s="16"/>
      <c r="C63" s="8"/>
      <c r="D63" s="8"/>
    </row>
    <row r="64" spans="2:4" ht="12.75">
      <c r="B64" s="8"/>
      <c r="C64" s="8"/>
      <c r="D64" s="8"/>
    </row>
    <row r="65" spans="2:4" ht="12.75">
      <c r="B65" s="8"/>
      <c r="C65" s="8"/>
      <c r="D65" s="8"/>
    </row>
    <row r="66" spans="2:4" ht="12.75">
      <c r="B66" s="8"/>
      <c r="C66" s="8"/>
      <c r="D66" s="8"/>
    </row>
    <row r="67" spans="2:4" ht="12.75">
      <c r="B67" s="8"/>
      <c r="C67" s="8"/>
      <c r="D67" s="8"/>
    </row>
    <row r="68" spans="2:4" ht="12.75">
      <c r="B68" s="10"/>
      <c r="C68" s="8"/>
      <c r="D68" s="8"/>
    </row>
    <row r="69" spans="2:4" ht="12.75">
      <c r="B69" s="8"/>
      <c r="C69" s="8"/>
      <c r="D69" s="8"/>
    </row>
    <row r="70" ht="12.75">
      <c r="B70" s="8"/>
    </row>
    <row r="71" ht="12.75">
      <c r="B71" s="8"/>
    </row>
    <row r="72" ht="12.75">
      <c r="B72" s="16"/>
    </row>
    <row r="73" ht="12.75">
      <c r="B73" s="8"/>
    </row>
    <row r="74" ht="12.75">
      <c r="B74" s="8"/>
    </row>
    <row r="75" ht="12.75">
      <c r="B75" s="10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C2">
      <selection activeCell="C12" sqref="C12"/>
    </sheetView>
  </sheetViews>
  <sheetFormatPr defaultColWidth="9.33203125" defaultRowHeight="12.75"/>
  <cols>
    <col min="1" max="1" width="29.5" style="1" customWidth="1"/>
    <col min="2" max="2" width="14" style="1" customWidth="1"/>
    <col min="3" max="3" width="13.66015625" style="1" customWidth="1"/>
    <col min="4" max="4" width="15.83203125" style="1" customWidth="1"/>
    <col min="5" max="5" width="14.33203125" style="1" customWidth="1"/>
    <col min="6" max="6" width="8.5" style="1" customWidth="1"/>
    <col min="7" max="7" width="12.16015625" style="1" customWidth="1"/>
    <col min="8" max="8" width="14.66015625" style="1" customWidth="1"/>
    <col min="9" max="10" width="14.33203125" style="1" customWidth="1"/>
    <col min="11" max="16384" width="12" style="1" customWidth="1"/>
  </cols>
  <sheetData>
    <row r="1" spans="2:5" ht="12.75" customHeight="1">
      <c r="B1" s="1" t="s">
        <v>178</v>
      </c>
      <c r="C1" s="8"/>
      <c r="D1" s="8"/>
      <c r="E1" s="8"/>
    </row>
    <row r="2" spans="1:12" s="14" customFormat="1" ht="12.75" customHeight="1">
      <c r="A2" s="1"/>
      <c r="B2" s="1"/>
      <c r="C2" s="22"/>
      <c r="D2" s="3" t="s">
        <v>179</v>
      </c>
      <c r="E2" s="22"/>
      <c r="F2" s="1"/>
      <c r="G2" s="1"/>
      <c r="H2" s="1" t="s">
        <v>221</v>
      </c>
      <c r="I2" s="1" t="s">
        <v>226</v>
      </c>
      <c r="J2" s="1"/>
      <c r="K2" s="1"/>
      <c r="L2" s="1"/>
    </row>
    <row r="3" spans="1:12" s="14" customFormat="1" ht="9" customHeight="1">
      <c r="A3" s="3"/>
      <c r="B3" s="22"/>
      <c r="C3" s="22"/>
      <c r="D3" s="22"/>
      <c r="E3" s="22"/>
      <c r="F3" s="1"/>
      <c r="G3" s="4"/>
      <c r="J3" s="1"/>
      <c r="K3" s="1"/>
      <c r="L3" s="1"/>
    </row>
    <row r="4" spans="1:12" s="14" customFormat="1" ht="14.25" customHeight="1">
      <c r="A4" s="3" t="s">
        <v>101</v>
      </c>
      <c r="B4" s="22"/>
      <c r="C4" s="22"/>
      <c r="D4" s="22"/>
      <c r="E4" s="22"/>
      <c r="F4" s="23"/>
      <c r="G4" s="23"/>
      <c r="H4" s="24"/>
      <c r="I4" s="24"/>
      <c r="J4" s="1"/>
      <c r="K4" s="1"/>
      <c r="L4" s="1"/>
    </row>
    <row r="5" spans="1:12" s="14" customFormat="1" ht="14.25" customHeight="1" thickBot="1">
      <c r="A5" s="6" t="s">
        <v>180</v>
      </c>
      <c r="B5" s="36" t="s">
        <v>207</v>
      </c>
      <c r="C5" s="6"/>
      <c r="D5" s="25"/>
      <c r="E5" s="25"/>
      <c r="F5" s="31"/>
      <c r="G5" s="31"/>
      <c r="H5" s="37"/>
      <c r="I5" s="37"/>
      <c r="J5" s="1"/>
      <c r="K5" s="1"/>
      <c r="L5" s="1"/>
    </row>
    <row r="6" spans="1:12" s="14" customFormat="1" ht="15" customHeight="1" thickTop="1">
      <c r="A6" s="1"/>
      <c r="B6" s="38"/>
      <c r="C6" s="38"/>
      <c r="D6" s="38"/>
      <c r="E6" s="38"/>
      <c r="F6" s="39" t="s">
        <v>102</v>
      </c>
      <c r="G6" s="38"/>
      <c r="H6" s="38"/>
      <c r="I6" s="38"/>
      <c r="J6" s="1"/>
      <c r="K6" s="1"/>
      <c r="L6" s="1"/>
    </row>
    <row r="7" spans="2:9" ht="15.75">
      <c r="B7" s="39" t="s">
        <v>103</v>
      </c>
      <c r="C7" s="38"/>
      <c r="D7" s="38"/>
      <c r="E7" s="26"/>
      <c r="F7" s="26"/>
      <c r="G7" s="26"/>
      <c r="H7" s="26"/>
      <c r="I7" s="26"/>
    </row>
    <row r="8" spans="2:9" ht="15.75" customHeight="1">
      <c r="B8" s="40"/>
      <c r="C8" s="26"/>
      <c r="D8" s="26"/>
      <c r="E8" s="26"/>
      <c r="F8" s="26" t="s">
        <v>104</v>
      </c>
      <c r="G8" s="26"/>
      <c r="H8" s="26"/>
      <c r="I8" s="26"/>
    </row>
    <row r="9" spans="4:6" ht="21.75" customHeight="1">
      <c r="D9" s="1" t="s">
        <v>105</v>
      </c>
      <c r="F9" s="1" t="s">
        <v>106</v>
      </c>
    </row>
    <row r="10" spans="3:8" ht="12.75" customHeight="1">
      <c r="C10" s="1" t="s">
        <v>107</v>
      </c>
      <c r="D10" s="1" t="s">
        <v>108</v>
      </c>
      <c r="E10" s="1" t="s">
        <v>109</v>
      </c>
      <c r="F10" s="1" t="s">
        <v>110</v>
      </c>
      <c r="G10" s="1" t="s">
        <v>111</v>
      </c>
      <c r="H10" s="1" t="s">
        <v>167</v>
      </c>
    </row>
    <row r="11" spans="2:9" ht="12.75">
      <c r="B11" s="38" t="s">
        <v>112</v>
      </c>
      <c r="C11" s="38" t="s">
        <v>113</v>
      </c>
      <c r="D11" s="38" t="s">
        <v>114</v>
      </c>
      <c r="E11" s="38" t="s">
        <v>115</v>
      </c>
      <c r="F11" s="38" t="s">
        <v>116</v>
      </c>
      <c r="G11" s="38" t="s">
        <v>117</v>
      </c>
      <c r="H11" s="38" t="s">
        <v>118</v>
      </c>
      <c r="I11" s="38" t="s">
        <v>119</v>
      </c>
    </row>
    <row r="12" spans="1:9" ht="12.75">
      <c r="A12" s="3" t="s">
        <v>194</v>
      </c>
      <c r="B12" s="8">
        <v>11238181.72</v>
      </c>
      <c r="C12" s="8">
        <v>2972.81</v>
      </c>
      <c r="D12" s="8">
        <v>2951416.01</v>
      </c>
      <c r="E12" s="16">
        <v>0</v>
      </c>
      <c r="F12" s="15">
        <v>-7.38</v>
      </c>
      <c r="G12" s="16">
        <v>0</v>
      </c>
      <c r="H12" s="8">
        <v>-35400637.13</v>
      </c>
      <c r="I12" s="8">
        <f>SUM(B12:H12)</f>
        <v>-21208073.970000003</v>
      </c>
    </row>
    <row r="13" spans="1:9" ht="12.75">
      <c r="A13" s="1" t="s">
        <v>120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12.75">
      <c r="A14" s="1" t="s">
        <v>121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87">
        <v>1932905.04</v>
      </c>
      <c r="I14" s="8">
        <f>SUM(B14:H14)</f>
        <v>1932905.04</v>
      </c>
    </row>
    <row r="15" spans="1:9" ht="12.75">
      <c r="A15" s="1" t="s">
        <v>122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2.75">
      <c r="A16" s="1" t="s">
        <v>215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229473.08</v>
      </c>
      <c r="I16" s="8">
        <f>SUM(B16:H16)</f>
        <v>229473.08</v>
      </c>
    </row>
    <row r="17" spans="1:9" ht="12.75">
      <c r="A17" s="1" t="s">
        <v>123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2.75">
      <c r="A18" s="3" t="s">
        <v>196</v>
      </c>
      <c r="B18" s="8">
        <f>SUM(B12:B17)</f>
        <v>11238181.72</v>
      </c>
      <c r="C18" s="8">
        <f>SUM(C12:C17)</f>
        <v>2972.81</v>
      </c>
      <c r="D18" s="8">
        <f>SUM(D12:D17)</f>
        <v>2951416.01</v>
      </c>
      <c r="E18" s="16">
        <v>0</v>
      </c>
      <c r="F18" s="8">
        <f>SUM(F12:F17)</f>
        <v>-7.38</v>
      </c>
      <c r="G18" s="16">
        <v>0</v>
      </c>
      <c r="H18" s="8">
        <f>SUM(H12:H17)</f>
        <v>-33238259.010000005</v>
      </c>
      <c r="I18" s="8">
        <f>SUM(I12:I17)</f>
        <v>-19045695.850000005</v>
      </c>
    </row>
    <row r="19" spans="1:9" ht="12.75">
      <c r="A19" s="1" t="s">
        <v>120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2.75">
      <c r="A20" s="1" t="s">
        <v>121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8">
        <f>'Demres.'!B38</f>
        <v>-1067487.4200000002</v>
      </c>
      <c r="I20" s="8">
        <f>SUM(B20:H20)</f>
        <v>-1067487.4200000002</v>
      </c>
    </row>
    <row r="21" spans="1:9" ht="13.5" thickBot="1">
      <c r="A21" s="3" t="s">
        <v>218</v>
      </c>
      <c r="B21" s="41">
        <f>SUM(B18:B20)</f>
        <v>11238181.72</v>
      </c>
      <c r="C21" s="41">
        <f>SUM(C18:C20)</f>
        <v>2972.81</v>
      </c>
      <c r="D21" s="41">
        <f>SUM(D18:D20)</f>
        <v>2951416.01</v>
      </c>
      <c r="E21" s="42">
        <v>0</v>
      </c>
      <c r="F21" s="41">
        <f>SUM(F18:F20)</f>
        <v>-7.38</v>
      </c>
      <c r="G21" s="111">
        <f>SUM(G18:G20)</f>
        <v>0</v>
      </c>
      <c r="H21" s="41">
        <f>SUM(H18:H20)</f>
        <v>-34305746.43000001</v>
      </c>
      <c r="I21" s="41">
        <f>SUM(I18:I20)</f>
        <v>-20113183.270000007</v>
      </c>
    </row>
    <row r="22" spans="1:9" ht="13.5" thickTop="1">
      <c r="A22" s="43"/>
      <c r="B22" s="11"/>
      <c r="C22" s="11"/>
      <c r="D22" s="11"/>
      <c r="E22" s="11"/>
      <c r="F22" s="11"/>
      <c r="G22" s="44"/>
      <c r="H22" s="11"/>
      <c r="I22" s="45"/>
    </row>
    <row r="23" spans="1:9" ht="15.75">
      <c r="A23" s="14" t="s">
        <v>208</v>
      </c>
      <c r="H23" s="8"/>
      <c r="I23" s="8"/>
    </row>
    <row r="24" ht="12.75">
      <c r="H24" s="8"/>
    </row>
    <row r="25" spans="1:7" ht="13.5">
      <c r="A25" s="1" t="s">
        <v>174</v>
      </c>
      <c r="C25" s="46"/>
      <c r="F25" s="19" t="s">
        <v>144</v>
      </c>
      <c r="G25" s="20"/>
    </row>
    <row r="26" spans="1:7" ht="12.75">
      <c r="A26" s="1" t="s">
        <v>175</v>
      </c>
      <c r="C26" s="10"/>
      <c r="F26" s="8" t="s">
        <v>230</v>
      </c>
      <c r="G26" s="3"/>
    </row>
    <row r="27" spans="3:9" ht="12.75">
      <c r="C27" s="10"/>
      <c r="F27" s="3"/>
      <c r="G27" s="3"/>
      <c r="H27" s="8"/>
      <c r="I27" s="8"/>
    </row>
    <row r="28" spans="1:9" ht="13.5">
      <c r="A28" s="20"/>
      <c r="B28" s="20"/>
      <c r="C28" s="20" t="s">
        <v>127</v>
      </c>
      <c r="E28" s="20"/>
      <c r="F28" s="20"/>
      <c r="I28" s="1" t="s">
        <v>126</v>
      </c>
    </row>
    <row r="29" spans="1:9" ht="12.75">
      <c r="A29" s="3"/>
      <c r="B29" s="3"/>
      <c r="C29" s="3" t="s">
        <v>128</v>
      </c>
      <c r="E29" s="3"/>
      <c r="F29" s="3"/>
      <c r="I29" s="1" t="s">
        <v>126</v>
      </c>
    </row>
    <row r="30" spans="1:6" ht="12.75">
      <c r="A30" s="3"/>
      <c r="B30" s="3"/>
      <c r="E30" s="3"/>
      <c r="F30" s="3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6" sqref="A6"/>
    </sheetView>
  </sheetViews>
  <sheetFormatPr defaultColWidth="9.33203125" defaultRowHeight="12.75"/>
  <cols>
    <col min="1" max="1" width="52.5" style="1" customWidth="1"/>
    <col min="2" max="2" width="16.5" style="1" customWidth="1"/>
    <col min="3" max="3" width="3.83203125" style="1" customWidth="1"/>
    <col min="4" max="4" width="15.83203125" style="1" customWidth="1"/>
    <col min="5" max="5" width="15.5" style="1" customWidth="1"/>
    <col min="6" max="16384" width="12" style="1" customWidth="1"/>
  </cols>
  <sheetData>
    <row r="1" ht="12.75">
      <c r="D1" s="2"/>
    </row>
    <row r="2" ht="12.75" customHeight="1">
      <c r="A2" s="1" t="s">
        <v>173</v>
      </c>
    </row>
    <row r="3" spans="1:10" s="14" customFormat="1" ht="12.75" customHeight="1">
      <c r="A3" s="3" t="s">
        <v>177</v>
      </c>
      <c r="B3" s="4"/>
      <c r="C3" s="4"/>
      <c r="D3" s="5"/>
      <c r="E3" s="4"/>
      <c r="H3" s="1"/>
      <c r="I3" s="1"/>
      <c r="J3" s="1"/>
    </row>
    <row r="4" spans="1:10" s="14" customFormat="1" ht="12.75" customHeight="1">
      <c r="A4" s="3"/>
      <c r="B4" s="1" t="s">
        <v>221</v>
      </c>
      <c r="D4" s="1" t="s">
        <v>227</v>
      </c>
      <c r="E4" s="4"/>
      <c r="H4" s="1"/>
      <c r="I4" s="1"/>
      <c r="J4" s="1"/>
    </row>
    <row r="5" spans="1:10" s="14" customFormat="1" ht="8.25" customHeight="1">
      <c r="A5" s="1"/>
      <c r="B5" s="1"/>
      <c r="C5" s="1"/>
      <c r="D5" s="1"/>
      <c r="E5" s="1"/>
      <c r="H5" s="1"/>
      <c r="I5" s="1"/>
      <c r="J5" s="1"/>
    </row>
    <row r="6" spans="1:10" s="14" customFormat="1" ht="12.75" customHeight="1">
      <c r="A6" s="3" t="s">
        <v>43</v>
      </c>
      <c r="B6" s="3"/>
      <c r="C6" s="3"/>
      <c r="D6" s="1"/>
      <c r="E6" s="1"/>
      <c r="H6" s="1"/>
      <c r="I6" s="1"/>
      <c r="J6" s="1"/>
    </row>
    <row r="7" spans="1:10" s="14" customFormat="1" ht="12.75" customHeight="1" thickBot="1">
      <c r="A7" s="104" t="s">
        <v>204</v>
      </c>
      <c r="B7" s="6"/>
      <c r="C7" s="6"/>
      <c r="D7" s="31"/>
      <c r="E7" s="1"/>
      <c r="H7" s="1"/>
      <c r="I7" s="1"/>
      <c r="J7" s="1"/>
    </row>
    <row r="8" spans="1:10" s="14" customFormat="1" ht="12.75" customHeight="1" thickTop="1">
      <c r="A8" s="3"/>
      <c r="B8" s="1" t="s">
        <v>219</v>
      </c>
      <c r="C8" s="3"/>
      <c r="D8" s="1"/>
      <c r="E8" s="1"/>
      <c r="H8" s="1"/>
      <c r="I8" s="1"/>
      <c r="J8" s="1"/>
    </row>
    <row r="10" spans="2:4" ht="12.75">
      <c r="B10" s="32"/>
      <c r="C10" s="32"/>
      <c r="D10" s="32"/>
    </row>
    <row r="11" spans="2:4" ht="13.5" thickBot="1">
      <c r="B11" s="112">
        <v>2006</v>
      </c>
      <c r="C11" s="112"/>
      <c r="D11" s="112">
        <v>2005</v>
      </c>
    </row>
    <row r="13" spans="1:6" ht="12.75">
      <c r="A13" s="3" t="s">
        <v>44</v>
      </c>
      <c r="B13" s="33">
        <f>SUM(B14:B15)</f>
        <v>15540453.58</v>
      </c>
      <c r="C13" s="30"/>
      <c r="D13" s="33">
        <f>SUM(D14:D15)</f>
        <v>13795774.97</v>
      </c>
      <c r="E13" s="79"/>
      <c r="F13" s="78"/>
    </row>
    <row r="14" spans="1:6" ht="12.75">
      <c r="A14" s="1" t="s">
        <v>157</v>
      </c>
      <c r="B14" s="8">
        <f>15540453.58-B15</f>
        <v>13708465.83</v>
      </c>
      <c r="C14" s="8"/>
      <c r="D14" s="8">
        <f>13795774.97-D15</f>
        <v>12135358.450000001</v>
      </c>
      <c r="E14" s="35"/>
      <c r="F14" s="78"/>
    </row>
    <row r="15" spans="1:4" ht="12.75">
      <c r="A15" s="1" t="s">
        <v>158</v>
      </c>
      <c r="B15" s="8">
        <f>1830337.31+1650.44</f>
        <v>1831987.75</v>
      </c>
      <c r="C15" s="8"/>
      <c r="D15" s="8">
        <f>1660416.11+0.41</f>
        <v>1660416.52</v>
      </c>
    </row>
    <row r="16" spans="1:4" ht="12.75">
      <c r="A16" s="3" t="s">
        <v>45</v>
      </c>
      <c r="B16" s="33">
        <f>SUM(B17:B21)</f>
        <v>29751872.12</v>
      </c>
      <c r="C16" s="30"/>
      <c r="D16" s="33">
        <f>SUM(D17:D21)</f>
        <v>23756574.44</v>
      </c>
    </row>
    <row r="17" spans="1:4" ht="12.75">
      <c r="A17" s="1" t="s">
        <v>159</v>
      </c>
      <c r="B17" s="8">
        <f>29751872.12-B18-B20-B21</f>
        <v>28631189.41</v>
      </c>
      <c r="C17" s="8"/>
      <c r="D17" s="8">
        <f>23756574.44-D18-D20-D21</f>
        <v>22665657.610000003</v>
      </c>
    </row>
    <row r="18" spans="1:4" ht="12.75">
      <c r="A18" s="1" t="s">
        <v>160</v>
      </c>
      <c r="B18" s="8">
        <v>237555.09</v>
      </c>
      <c r="C18" s="8"/>
      <c r="D18" s="8">
        <v>237555.31</v>
      </c>
    </row>
    <row r="19" ht="12.75">
      <c r="A19" s="1" t="s">
        <v>46</v>
      </c>
    </row>
    <row r="20" spans="1:4" ht="12.75">
      <c r="A20" s="1" t="s">
        <v>161</v>
      </c>
      <c r="B20" s="11">
        <v>871725.42</v>
      </c>
      <c r="C20" s="11"/>
      <c r="D20" s="11">
        <v>841959.32</v>
      </c>
    </row>
    <row r="21" spans="1:4" ht="12.75">
      <c r="A21" s="1" t="s">
        <v>162</v>
      </c>
      <c r="B21" s="8">
        <v>11402.2</v>
      </c>
      <c r="C21" s="8"/>
      <c r="D21" s="8">
        <v>11402.2</v>
      </c>
    </row>
    <row r="22" spans="1:4" ht="12.75">
      <c r="A22" s="3" t="s">
        <v>47</v>
      </c>
      <c r="B22" s="33">
        <f>B23</f>
        <v>-14211418.540000001</v>
      </c>
      <c r="C22" s="10"/>
      <c r="D22" s="33">
        <f>D23</f>
        <v>-9960799.47</v>
      </c>
    </row>
    <row r="23" spans="1:4" ht="12.75">
      <c r="A23" s="1" t="s">
        <v>163</v>
      </c>
      <c r="B23" s="8">
        <f>B13-B16</f>
        <v>-14211418.540000001</v>
      </c>
      <c r="C23" s="8"/>
      <c r="D23" s="8">
        <f>D13-D16</f>
        <v>-9960799.47</v>
      </c>
    </row>
    <row r="24" spans="1:4" ht="12.75">
      <c r="A24" s="1" t="s">
        <v>164</v>
      </c>
      <c r="B24" s="11">
        <f>D28</f>
        <v>-89211554.25999999</v>
      </c>
      <c r="C24" s="11"/>
      <c r="D24" s="11">
        <v>-82949503.52</v>
      </c>
    </row>
    <row r="25" spans="1:4" ht="12.75">
      <c r="A25" s="1" t="s">
        <v>171</v>
      </c>
      <c r="B25" s="16">
        <v>0</v>
      </c>
      <c r="C25" s="8"/>
      <c r="D25" s="16">
        <v>3698748.73</v>
      </c>
    </row>
    <row r="26" spans="1:4" ht="12.75">
      <c r="A26" s="1" t="s">
        <v>197</v>
      </c>
      <c r="B26" s="16">
        <v>0</v>
      </c>
      <c r="C26" s="29"/>
      <c r="D26" s="16">
        <v>0</v>
      </c>
    </row>
    <row r="27" spans="1:4" ht="12.75">
      <c r="A27" s="1" t="s">
        <v>191</v>
      </c>
      <c r="B27" s="16">
        <v>0</v>
      </c>
      <c r="C27" s="29"/>
      <c r="D27" s="16">
        <v>0</v>
      </c>
    </row>
    <row r="28" spans="1:4" ht="15">
      <c r="A28" s="3" t="s">
        <v>165</v>
      </c>
      <c r="B28" s="34">
        <f>SUM(B23:B27)</f>
        <v>-103422972.8</v>
      </c>
      <c r="C28" s="8"/>
      <c r="D28" s="34">
        <f>SUM(D23:D27)</f>
        <v>-89211554.25999999</v>
      </c>
    </row>
    <row r="30" spans="2:5" ht="12.75">
      <c r="B30" s="8"/>
      <c r="D30" s="8"/>
      <c r="E30" s="35"/>
    </row>
    <row r="31" spans="2:5" ht="12.75">
      <c r="B31" s="8"/>
      <c r="C31" s="8"/>
      <c r="D31" s="8"/>
      <c r="E31" s="8"/>
    </row>
    <row r="32" spans="2:5" ht="12.75">
      <c r="B32" s="8"/>
      <c r="C32" s="8"/>
      <c r="D32" s="8"/>
      <c r="E32" s="35"/>
    </row>
    <row r="33" spans="1:5" ht="12.75">
      <c r="A33" s="1" t="s">
        <v>209</v>
      </c>
      <c r="B33" s="8"/>
      <c r="C33" s="8"/>
      <c r="D33" s="8"/>
      <c r="E33" s="8"/>
    </row>
    <row r="34" spans="2:5" ht="12.75">
      <c r="B34" s="8"/>
      <c r="C34" s="8"/>
      <c r="D34" s="8"/>
      <c r="E34" s="35"/>
    </row>
    <row r="35" spans="2:5" ht="12.75">
      <c r="B35" s="8"/>
      <c r="C35" s="8"/>
      <c r="D35" s="8"/>
      <c r="E35" s="8"/>
    </row>
    <row r="36" spans="2:5" ht="12.75">
      <c r="B36" s="8"/>
      <c r="C36" s="8"/>
      <c r="D36" s="8"/>
      <c r="E36" s="35"/>
    </row>
    <row r="37" spans="1:4" ht="13.5">
      <c r="A37" s="1" t="s">
        <v>174</v>
      </c>
      <c r="B37" s="19" t="s">
        <v>144</v>
      </c>
      <c r="C37" s="8"/>
      <c r="D37" s="8"/>
    </row>
    <row r="38" spans="1:4" ht="12.75">
      <c r="A38" s="1" t="s">
        <v>175</v>
      </c>
      <c r="B38" s="8" t="s">
        <v>176</v>
      </c>
      <c r="C38" s="8"/>
      <c r="D38" s="8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1:2" ht="13.5">
      <c r="A42" s="20" t="s">
        <v>133</v>
      </c>
      <c r="B42" s="20"/>
    </row>
    <row r="43" spans="1:2" ht="12.75">
      <c r="A43" s="3" t="s">
        <v>134</v>
      </c>
      <c r="B43" s="3"/>
    </row>
    <row r="58" ht="12.75">
      <c r="B58" s="30"/>
    </row>
    <row r="59" ht="12.75">
      <c r="B59" s="8"/>
    </row>
    <row r="60" ht="12.75">
      <c r="B60" s="8"/>
    </row>
    <row r="61" ht="12.75">
      <c r="B61" s="30"/>
    </row>
    <row r="62" ht="12.75">
      <c r="B62" s="8"/>
    </row>
    <row r="63" ht="12.75">
      <c r="B63" s="8"/>
    </row>
    <row r="65" ht="12.75">
      <c r="B65" s="11"/>
    </row>
    <row r="66" ht="12.75">
      <c r="B66" s="8"/>
    </row>
    <row r="67" ht="12.75">
      <c r="B67" s="30"/>
    </row>
    <row r="68" ht="12.75">
      <c r="B68" s="8"/>
    </row>
    <row r="69" ht="12.75">
      <c r="B69" s="8"/>
    </row>
    <row r="70" ht="12.75">
      <c r="B70" s="8"/>
    </row>
    <row r="71" ht="12.75">
      <c r="B71" s="16"/>
    </row>
    <row r="72" ht="15">
      <c r="B72" s="17"/>
    </row>
    <row r="73" ht="12.75">
      <c r="B73" s="8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C25" sqref="C25"/>
    </sheetView>
  </sheetViews>
  <sheetFormatPr defaultColWidth="9.33203125" defaultRowHeight="12.75"/>
  <cols>
    <col min="1" max="1" width="49.83203125" style="1" customWidth="1"/>
    <col min="2" max="2" width="15.83203125" style="8" customWidth="1"/>
    <col min="3" max="3" width="5.66015625" style="8" customWidth="1"/>
    <col min="4" max="4" width="15.83203125" style="8" customWidth="1"/>
    <col min="5" max="16384" width="12" style="1" customWidth="1"/>
  </cols>
  <sheetData>
    <row r="1" ht="12.75">
      <c r="D1" s="9"/>
    </row>
    <row r="2" ht="12.75" customHeight="1">
      <c r="A2" s="1" t="s">
        <v>173</v>
      </c>
    </row>
    <row r="3" spans="1:11" s="14" customFormat="1" ht="12.75" customHeight="1">
      <c r="A3" s="3" t="s">
        <v>177</v>
      </c>
      <c r="B3" s="22"/>
      <c r="C3" s="22"/>
      <c r="D3" s="1"/>
      <c r="E3" s="5"/>
      <c r="F3" s="1"/>
      <c r="I3" s="1"/>
      <c r="J3" s="1"/>
      <c r="K3" s="1"/>
    </row>
    <row r="4" spans="1:11" s="14" customFormat="1" ht="12.75" customHeight="1">
      <c r="A4" s="3"/>
      <c r="B4" s="1" t="s">
        <v>221</v>
      </c>
      <c r="D4" s="1" t="s">
        <v>228</v>
      </c>
      <c r="E4" s="1"/>
      <c r="F4" s="4"/>
      <c r="I4" s="1"/>
      <c r="J4" s="1"/>
      <c r="K4" s="1"/>
    </row>
    <row r="5" spans="1:11" s="14" customFormat="1" ht="8.25" customHeight="1">
      <c r="A5" s="1"/>
      <c r="B5" s="8"/>
      <c r="C5" s="8"/>
      <c r="D5" s="8"/>
      <c r="E5" s="1"/>
      <c r="F5" s="1"/>
      <c r="I5" s="1"/>
      <c r="J5" s="1"/>
      <c r="K5" s="1"/>
    </row>
    <row r="6" spans="1:11" s="14" customFormat="1" ht="12.75" customHeight="1">
      <c r="A6" s="3" t="s">
        <v>87</v>
      </c>
      <c r="B6" s="22"/>
      <c r="C6" s="22"/>
      <c r="D6" s="22"/>
      <c r="E6" s="23"/>
      <c r="F6" s="23"/>
      <c r="G6" s="24"/>
      <c r="H6" s="24"/>
      <c r="I6" s="1"/>
      <c r="J6" s="1"/>
      <c r="K6" s="1"/>
    </row>
    <row r="7" spans="1:11" s="14" customFormat="1" ht="12.75" customHeight="1" thickBot="1">
      <c r="A7" s="6" t="s">
        <v>204</v>
      </c>
      <c r="B7" s="25"/>
      <c r="C7" s="25"/>
      <c r="D7" s="25"/>
      <c r="E7" s="26"/>
      <c r="F7" s="26"/>
      <c r="G7" s="27"/>
      <c r="H7" s="27"/>
      <c r="I7" s="1"/>
      <c r="J7" s="1"/>
      <c r="K7" s="1"/>
    </row>
    <row r="8" ht="13.5" thickTop="1"/>
    <row r="9" spans="2:4" ht="12.75">
      <c r="B9" s="1" t="s">
        <v>3</v>
      </c>
      <c r="C9" s="1"/>
      <c r="D9" s="1"/>
    </row>
    <row r="10" spans="2:4" ht="12.75">
      <c r="B10" s="28">
        <v>2006</v>
      </c>
      <c r="C10" s="7"/>
      <c r="D10" s="28">
        <v>2005</v>
      </c>
    </row>
    <row r="12" spans="1:4" ht="12.75">
      <c r="A12" s="3" t="s">
        <v>88</v>
      </c>
      <c r="B12" s="10">
        <f>B13+B16</f>
        <v>21055241.8</v>
      </c>
      <c r="C12" s="10"/>
      <c r="D12" s="10">
        <f>D13+D16</f>
        <v>21034272.64</v>
      </c>
    </row>
    <row r="13" spans="1:4" ht="12.75">
      <c r="A13" s="1" t="s">
        <v>89</v>
      </c>
      <c r="B13" s="13">
        <f>B14</f>
        <v>0</v>
      </c>
      <c r="C13" s="11"/>
      <c r="D13" s="13">
        <f>D14</f>
        <v>370.84</v>
      </c>
    </row>
    <row r="14" spans="1:4" ht="12.75">
      <c r="A14" s="1" t="s">
        <v>90</v>
      </c>
      <c r="B14" s="8">
        <v>0</v>
      </c>
      <c r="D14" s="8">
        <v>370.84</v>
      </c>
    </row>
    <row r="16" spans="1:4" ht="12.75">
      <c r="A16" s="1" t="s">
        <v>91</v>
      </c>
      <c r="B16" s="13">
        <f>SUM(B18:B19)</f>
        <v>21055241.8</v>
      </c>
      <c r="D16" s="13">
        <f>SUM(D18:D19)</f>
        <v>21033901.8</v>
      </c>
    </row>
    <row r="17" ht="12.75">
      <c r="A17" s="1" t="s">
        <v>92</v>
      </c>
    </row>
    <row r="18" spans="1:4" ht="12.75">
      <c r="A18" s="1" t="s">
        <v>93</v>
      </c>
      <c r="B18" s="8">
        <f>859339.87+1421100</f>
        <v>2280439.87</v>
      </c>
      <c r="D18" s="8">
        <f>859339.87+1421100</f>
        <v>2280439.87</v>
      </c>
    </row>
    <row r="19" spans="1:4" ht="12.75">
      <c r="A19" s="1" t="s">
        <v>94</v>
      </c>
      <c r="B19" s="8">
        <v>18774801.93</v>
      </c>
      <c r="D19" s="8">
        <v>18753461.93</v>
      </c>
    </row>
    <row r="21" spans="1:4" ht="12.75">
      <c r="A21" s="3" t="s">
        <v>95</v>
      </c>
      <c r="B21" s="10">
        <f>B22+B27</f>
        <v>21055241.799999997</v>
      </c>
      <c r="C21" s="10"/>
      <c r="D21" s="10">
        <f>D22+D27</f>
        <v>21034272.64</v>
      </c>
    </row>
    <row r="22" spans="1:4" ht="12.75">
      <c r="A22" s="1" t="s">
        <v>96</v>
      </c>
      <c r="B22" s="13">
        <f>SUM(B24:B25)</f>
        <v>122197774.73000002</v>
      </c>
      <c r="D22" s="13">
        <f>SUM(D24:D25)</f>
        <v>107965016.19</v>
      </c>
    </row>
    <row r="23" spans="1:4" ht="12.75">
      <c r="A23" s="1" t="s">
        <v>97</v>
      </c>
      <c r="B23" s="11"/>
      <c r="C23" s="11"/>
      <c r="D23" s="11"/>
    </row>
    <row r="24" spans="1:4" ht="12.75">
      <c r="A24" s="1" t="s">
        <v>98</v>
      </c>
      <c r="B24" s="8">
        <v>18774801.93</v>
      </c>
      <c r="D24" s="8">
        <v>18753461.93</v>
      </c>
    </row>
    <row r="25" spans="1:4" ht="12.75">
      <c r="A25" s="1" t="s">
        <v>99</v>
      </c>
      <c r="B25" s="8">
        <f>'B.Patr.'!B30+'B.Patr.'!B31</f>
        <v>103422972.80000001</v>
      </c>
      <c r="D25" s="8">
        <v>89211554.26</v>
      </c>
    </row>
    <row r="27" spans="1:4" ht="12.75">
      <c r="A27" s="1" t="s">
        <v>100</v>
      </c>
      <c r="B27" s="13">
        <f>B28</f>
        <v>-101142532.93000002</v>
      </c>
      <c r="C27" s="29"/>
      <c r="D27" s="13">
        <f>D28</f>
        <v>-86930743.55</v>
      </c>
    </row>
    <row r="28" spans="1:4" ht="12.75">
      <c r="A28" s="1" t="s">
        <v>130</v>
      </c>
      <c r="B28" s="8">
        <f>B12-B22</f>
        <v>-101142532.93000002</v>
      </c>
      <c r="D28" s="8">
        <f>D12-D22</f>
        <v>-86930743.55</v>
      </c>
    </row>
    <row r="31" ht="12.75">
      <c r="A31" s="1" t="s">
        <v>209</v>
      </c>
    </row>
    <row r="33" ht="12.75">
      <c r="B33" s="1"/>
    </row>
    <row r="34" ht="12.75">
      <c r="B34" s="1"/>
    </row>
    <row r="35" spans="1:2" ht="13.5">
      <c r="A35" s="1" t="s">
        <v>174</v>
      </c>
      <c r="B35" s="19" t="s">
        <v>144</v>
      </c>
    </row>
    <row r="36" spans="1:2" ht="12.75">
      <c r="A36" s="1" t="s">
        <v>175</v>
      </c>
      <c r="B36" s="8" t="s">
        <v>176</v>
      </c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1:4" ht="13.5">
      <c r="A40" s="20" t="s">
        <v>133</v>
      </c>
      <c r="B40" s="20"/>
      <c r="C40" s="1"/>
      <c r="D40" s="1"/>
    </row>
    <row r="41" spans="1:4" ht="12.75">
      <c r="A41" s="3" t="s">
        <v>135</v>
      </c>
      <c r="B41" s="3"/>
      <c r="C41" s="1"/>
      <c r="D41" s="1"/>
    </row>
    <row r="42" ht="12.75">
      <c r="A42" s="21"/>
    </row>
    <row r="52" ht="12.75">
      <c r="B52" s="30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30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34">
      <selection activeCell="A44" sqref="A44"/>
    </sheetView>
  </sheetViews>
  <sheetFormatPr defaultColWidth="9.33203125" defaultRowHeight="12.75"/>
  <cols>
    <col min="1" max="1" width="49.83203125" style="1" customWidth="1"/>
    <col min="2" max="3" width="15.83203125" style="1" customWidth="1"/>
    <col min="4" max="5" width="15.83203125" style="1" hidden="1" customWidth="1"/>
    <col min="6" max="6" width="12" style="48" customWidth="1"/>
    <col min="7" max="16384" width="12" style="1" customWidth="1"/>
  </cols>
  <sheetData>
    <row r="1" spans="1:4" ht="12.75">
      <c r="A1" s="1" t="s">
        <v>181</v>
      </c>
      <c r="D1" s="2"/>
    </row>
    <row r="2" ht="12.75" customHeight="1">
      <c r="A2" s="3" t="s">
        <v>182</v>
      </c>
    </row>
    <row r="3" spans="1:11" s="14" customFormat="1" ht="12.75" customHeight="1">
      <c r="A3" s="3"/>
      <c r="B3" s="1" t="s">
        <v>221</v>
      </c>
      <c r="C3" s="1" t="s">
        <v>229</v>
      </c>
      <c r="D3" s="5"/>
      <c r="E3" s="1"/>
      <c r="F3" s="49"/>
      <c r="I3" s="1"/>
      <c r="J3" s="1"/>
      <c r="K3" s="1"/>
    </row>
    <row r="4" spans="1:11" s="14" customFormat="1" ht="12.75" customHeight="1">
      <c r="A4" s="3"/>
      <c r="B4" s="4"/>
      <c r="C4" s="4"/>
      <c r="D4" s="4"/>
      <c r="E4" s="1"/>
      <c r="F4" s="49"/>
      <c r="I4" s="1"/>
      <c r="J4" s="1"/>
      <c r="K4" s="1"/>
    </row>
    <row r="5" spans="1:11" s="14" customFormat="1" ht="8.25" customHeight="1">
      <c r="A5" s="1"/>
      <c r="B5" s="1"/>
      <c r="C5" s="1"/>
      <c r="D5" s="1"/>
      <c r="E5" s="1"/>
      <c r="F5" s="48"/>
      <c r="I5" s="1"/>
      <c r="J5" s="1"/>
      <c r="K5" s="1"/>
    </row>
    <row r="6" spans="1:11" s="14" customFormat="1" ht="12.75" customHeight="1">
      <c r="A6" s="3" t="s">
        <v>210</v>
      </c>
      <c r="B6" s="4"/>
      <c r="C6" s="4"/>
      <c r="D6" s="4"/>
      <c r="E6" s="23"/>
      <c r="F6" s="50"/>
      <c r="G6" s="24"/>
      <c r="H6" s="24"/>
      <c r="I6" s="1"/>
      <c r="J6" s="1"/>
      <c r="K6" s="1"/>
    </row>
    <row r="7" spans="1:11" s="14" customFormat="1" ht="12.75" customHeight="1" thickBot="1">
      <c r="A7" s="6" t="s">
        <v>216</v>
      </c>
      <c r="B7" s="6"/>
      <c r="C7" s="6"/>
      <c r="D7" s="6"/>
      <c r="E7" s="6"/>
      <c r="F7" s="51"/>
      <c r="G7" s="27"/>
      <c r="H7" s="27"/>
      <c r="I7" s="1"/>
      <c r="J7" s="1"/>
      <c r="K7" s="1"/>
    </row>
    <row r="8" ht="13.5" thickTop="1">
      <c r="B8" s="1" t="s">
        <v>102</v>
      </c>
    </row>
    <row r="9" spans="2:10" ht="12.75">
      <c r="B9" s="7">
        <v>2006</v>
      </c>
      <c r="C9" s="84"/>
      <c r="D9" s="7">
        <v>2002</v>
      </c>
      <c r="E9" s="7">
        <v>2001</v>
      </c>
      <c r="F9" s="51"/>
      <c r="I9" s="52"/>
      <c r="J9" s="26"/>
    </row>
    <row r="10" spans="1:10" ht="12.75">
      <c r="A10" s="3" t="s">
        <v>68</v>
      </c>
      <c r="B10" s="10">
        <f>B11</f>
        <v>266047.42</v>
      </c>
      <c r="C10" s="30"/>
      <c r="D10" s="10">
        <f>D11</f>
        <v>877274.53</v>
      </c>
      <c r="E10" s="10">
        <f>E11</f>
        <v>855655.55</v>
      </c>
      <c r="I10" s="53"/>
      <c r="J10" s="54"/>
    </row>
    <row r="11" spans="1:10" ht="12.75">
      <c r="A11" s="1" t="s">
        <v>124</v>
      </c>
      <c r="B11" s="9">
        <v>266047.42</v>
      </c>
      <c r="C11" s="45"/>
      <c r="D11" s="9">
        <v>877274.53</v>
      </c>
      <c r="E11" s="9">
        <v>855655.55</v>
      </c>
      <c r="I11" s="53"/>
      <c r="J11" s="54"/>
    </row>
    <row r="12" spans="1:10" ht="12.75">
      <c r="A12" s="3" t="s">
        <v>69</v>
      </c>
      <c r="B12" s="10">
        <f>B11</f>
        <v>266047.42</v>
      </c>
      <c r="C12" s="30"/>
      <c r="D12" s="10">
        <f>D11</f>
        <v>877274.53</v>
      </c>
      <c r="E12" s="10">
        <f>E11</f>
        <v>855655.55</v>
      </c>
      <c r="I12" s="53"/>
      <c r="J12" s="54"/>
    </row>
    <row r="13" spans="1:10" ht="12.75">
      <c r="A13" s="1" t="s">
        <v>70</v>
      </c>
      <c r="B13" s="12">
        <v>0</v>
      </c>
      <c r="C13" s="44"/>
      <c r="D13" s="12">
        <v>0</v>
      </c>
      <c r="E13" s="12">
        <v>0</v>
      </c>
      <c r="H13" s="51"/>
      <c r="I13" s="55"/>
      <c r="J13" s="54"/>
    </row>
    <row r="14" spans="2:10" ht="12.75">
      <c r="B14" s="8"/>
      <c r="C14" s="11"/>
      <c r="D14" s="8"/>
      <c r="E14" s="8"/>
      <c r="H14" s="83"/>
      <c r="I14" s="53"/>
      <c r="J14" s="26"/>
    </row>
    <row r="15" spans="1:10" ht="12.75">
      <c r="A15" s="1" t="s">
        <v>71</v>
      </c>
      <c r="B15" s="10">
        <f>B12</f>
        <v>266047.42</v>
      </c>
      <c r="C15" s="30"/>
      <c r="D15" s="10">
        <f>D12</f>
        <v>877274.53</v>
      </c>
      <c r="E15" s="10">
        <f>E12</f>
        <v>855655.55</v>
      </c>
      <c r="H15" s="83"/>
      <c r="I15" s="55"/>
      <c r="J15" s="54"/>
    </row>
    <row r="16" spans="2:10" ht="12.75">
      <c r="B16" s="8"/>
      <c r="C16" s="11"/>
      <c r="D16" s="8"/>
      <c r="E16" s="8"/>
      <c r="H16" s="83"/>
      <c r="I16" s="53"/>
      <c r="J16" s="54"/>
    </row>
    <row r="17" spans="1:10" ht="12.75">
      <c r="A17" s="1" t="s">
        <v>72</v>
      </c>
      <c r="B17" s="13">
        <f>SUM(B18:B19)</f>
        <v>-578311.23</v>
      </c>
      <c r="C17" s="11"/>
      <c r="D17" s="13">
        <f>SUM(D18:D20)</f>
        <v>-1318724.71</v>
      </c>
      <c r="E17" s="13">
        <f>SUM(E18:E20)</f>
        <v>-4566863.33</v>
      </c>
      <c r="F17" s="56"/>
      <c r="H17" s="83"/>
      <c r="I17" s="53"/>
      <c r="J17" s="54"/>
    </row>
    <row r="18" spans="1:8" ht="12.75" customHeight="1">
      <c r="A18" s="14" t="s">
        <v>73</v>
      </c>
      <c r="B18" s="8">
        <f>-59316.64</f>
        <v>-59316.64</v>
      </c>
      <c r="C18" s="11"/>
      <c r="D18" s="8">
        <f>-167721.09-56903.87-7133.28-45100.57-47315.2</f>
        <v>-324174.01</v>
      </c>
      <c r="E18" s="8">
        <v>-1284773.29</v>
      </c>
      <c r="F18" s="56"/>
      <c r="H18" s="83"/>
    </row>
    <row r="19" spans="1:8" ht="12.75" customHeight="1">
      <c r="A19" s="14" t="s">
        <v>74</v>
      </c>
      <c r="B19" s="8">
        <v>-518994.59</v>
      </c>
      <c r="C19" s="11"/>
      <c r="D19" s="8">
        <v>-994550.7</v>
      </c>
      <c r="E19" s="8">
        <v>-3282090.04</v>
      </c>
      <c r="F19" s="56"/>
      <c r="H19" s="83"/>
    </row>
    <row r="20" spans="1:8" ht="12.75" customHeight="1">
      <c r="A20" s="14" t="s">
        <v>75</v>
      </c>
      <c r="B20" s="16">
        <v>0</v>
      </c>
      <c r="C20" s="44"/>
      <c r="D20" s="16"/>
      <c r="E20" s="16">
        <v>0</v>
      </c>
      <c r="F20" s="57"/>
      <c r="H20" s="82"/>
    </row>
    <row r="21" spans="1:8" ht="12.75">
      <c r="A21" s="1" t="s">
        <v>76</v>
      </c>
      <c r="B21" s="16">
        <v>0</v>
      </c>
      <c r="C21" s="11"/>
      <c r="D21" s="8"/>
      <c r="E21" s="8"/>
      <c r="F21" s="57"/>
      <c r="H21" s="82"/>
    </row>
    <row r="22" spans="1:8" ht="12.75">
      <c r="A22" s="1" t="s">
        <v>168</v>
      </c>
      <c r="B22" s="16">
        <v>0</v>
      </c>
      <c r="C22" s="11"/>
      <c r="D22" s="8">
        <v>68624.06</v>
      </c>
      <c r="E22" s="8">
        <v>111669.61</v>
      </c>
      <c r="F22" s="56"/>
      <c r="H22" s="82"/>
    </row>
    <row r="23" spans="1:8" ht="12.75">
      <c r="A23" s="1" t="s">
        <v>77</v>
      </c>
      <c r="B23" s="8">
        <v>37735.66</v>
      </c>
      <c r="C23" s="11"/>
      <c r="D23" s="8">
        <v>18878.14</v>
      </c>
      <c r="E23" s="8">
        <v>15607.53</v>
      </c>
      <c r="F23" s="56"/>
      <c r="H23" s="82"/>
    </row>
    <row r="24" spans="1:8" ht="12.75">
      <c r="A24" s="1" t="s">
        <v>217</v>
      </c>
      <c r="B24" s="16">
        <v>0</v>
      </c>
      <c r="C24" s="11"/>
      <c r="D24" s="8">
        <v>-2602407.64</v>
      </c>
      <c r="E24" s="8"/>
      <c r="F24" s="56"/>
      <c r="H24" s="35"/>
    </row>
    <row r="25" spans="1:8" ht="12.75">
      <c r="A25" s="1" t="s">
        <v>192</v>
      </c>
      <c r="B25" s="16">
        <v>0</v>
      </c>
      <c r="C25" s="44"/>
      <c r="D25" s="8"/>
      <c r="E25" s="8"/>
      <c r="F25" s="56"/>
      <c r="H25" s="35"/>
    </row>
    <row r="26" spans="2:8" ht="12.75">
      <c r="B26" s="8"/>
      <c r="C26" s="11"/>
      <c r="D26" s="8"/>
      <c r="E26" s="8"/>
      <c r="F26" s="56"/>
      <c r="H26" s="35"/>
    </row>
    <row r="27" spans="1:8" ht="12.75">
      <c r="A27" s="1" t="s">
        <v>78</v>
      </c>
      <c r="B27" s="8">
        <f>B15+B17+B23+B22+B24+B21+B25</f>
        <v>-274528.15</v>
      </c>
      <c r="C27" s="11"/>
      <c r="D27" s="8">
        <f>D15+D17+D23+D22+D24+D21</f>
        <v>-2956355.62</v>
      </c>
      <c r="E27" s="8">
        <f>E15+E17+E23+E22+E24+E21</f>
        <v>-3583930.6400000006</v>
      </c>
      <c r="F27" s="56"/>
      <c r="H27" s="35"/>
    </row>
    <row r="28" spans="2:8" ht="12.75">
      <c r="B28" s="8"/>
      <c r="C28" s="11"/>
      <c r="D28" s="8"/>
      <c r="E28" s="8"/>
      <c r="F28" s="56"/>
      <c r="H28" s="35"/>
    </row>
    <row r="29" spans="1:6" ht="12.75">
      <c r="A29" s="1" t="s">
        <v>79</v>
      </c>
      <c r="B29" s="16">
        <v>5907.39</v>
      </c>
      <c r="C29" s="11"/>
      <c r="D29" s="8">
        <v>101300.43</v>
      </c>
      <c r="E29" s="8">
        <v>590805.7</v>
      </c>
      <c r="F29" s="57"/>
    </row>
    <row r="30" spans="1:6" ht="12.75">
      <c r="A30" s="1" t="s">
        <v>80</v>
      </c>
      <c r="B30" s="12">
        <v>0</v>
      </c>
      <c r="C30" s="11"/>
      <c r="D30" s="13">
        <f>-74677.86</f>
        <v>-74677.86</v>
      </c>
      <c r="E30" s="13">
        <v>-650505.68</v>
      </c>
      <c r="F30" s="57"/>
    </row>
    <row r="31" spans="1:6" ht="12.75">
      <c r="A31" s="1" t="s">
        <v>81</v>
      </c>
      <c r="B31" s="8">
        <f>B27+B29+B30</f>
        <v>-268620.76</v>
      </c>
      <c r="C31" s="11"/>
      <c r="D31" s="8">
        <f>D27+D29+D30</f>
        <v>-2929733.05</v>
      </c>
      <c r="E31" s="8">
        <f>E27+E29+E30</f>
        <v>-3643630.6200000006</v>
      </c>
      <c r="F31" s="56"/>
    </row>
    <row r="32" spans="2:5" ht="12.75">
      <c r="B32" s="8"/>
      <c r="C32" s="11"/>
      <c r="D32" s="8"/>
      <c r="E32" s="8"/>
    </row>
    <row r="33" spans="1:5" ht="12.75">
      <c r="A33" s="1" t="s">
        <v>82</v>
      </c>
      <c r="B33" s="16"/>
      <c r="C33" s="44"/>
      <c r="D33" s="16">
        <v>0</v>
      </c>
      <c r="E33" s="16">
        <v>0</v>
      </c>
    </row>
    <row r="34" spans="1:5" ht="12.75">
      <c r="A34" s="1" t="s">
        <v>83</v>
      </c>
      <c r="B34" s="8"/>
      <c r="C34" s="11"/>
      <c r="D34" s="8"/>
      <c r="E34" s="8"/>
    </row>
    <row r="35" spans="1:6" ht="12.75" customHeight="1">
      <c r="A35" s="14" t="s">
        <v>84</v>
      </c>
      <c r="B35" s="16">
        <v>0</v>
      </c>
      <c r="C35" s="44"/>
      <c r="D35" s="16">
        <v>0</v>
      </c>
      <c r="E35" s="16">
        <v>0</v>
      </c>
      <c r="F35" s="82"/>
    </row>
    <row r="36" spans="2:6" ht="12.75">
      <c r="B36" s="8"/>
      <c r="C36" s="11"/>
      <c r="D36" s="8"/>
      <c r="E36" s="8"/>
      <c r="F36" s="82"/>
    </row>
    <row r="37" spans="1:6" ht="12.75">
      <c r="A37" s="1" t="s">
        <v>85</v>
      </c>
      <c r="B37" s="18">
        <f>B31</f>
        <v>-268620.76</v>
      </c>
      <c r="C37" s="85"/>
      <c r="D37" s="18">
        <f>D31</f>
        <v>-2929733.05</v>
      </c>
      <c r="E37" s="18">
        <f>E31</f>
        <v>-3643630.6200000006</v>
      </c>
      <c r="F37" s="58"/>
    </row>
    <row r="38" spans="2:6" ht="12.75">
      <c r="B38" s="8"/>
      <c r="C38" s="11"/>
      <c r="D38" s="8"/>
      <c r="E38" s="8"/>
      <c r="F38" s="58"/>
    </row>
    <row r="39" spans="2:6" ht="12.75">
      <c r="B39" s="8"/>
      <c r="C39" s="8"/>
      <c r="D39" s="8"/>
      <c r="F39" s="82"/>
    </row>
    <row r="40" spans="1:6" ht="12.75">
      <c r="A40" s="1" t="s">
        <v>205</v>
      </c>
      <c r="B40" s="8"/>
      <c r="C40" s="8"/>
      <c r="D40" s="8"/>
      <c r="F40" s="82"/>
    </row>
    <row r="41" spans="2:4" ht="12.75">
      <c r="B41" s="8"/>
      <c r="C41" s="8"/>
      <c r="D41" s="8"/>
    </row>
    <row r="42" spans="2:4" ht="12.75">
      <c r="B42" s="8"/>
      <c r="C42" s="8"/>
      <c r="D42" s="8"/>
    </row>
    <row r="43" spans="2:4" ht="12.75">
      <c r="B43" s="8"/>
      <c r="C43" s="8"/>
      <c r="D43" s="8"/>
    </row>
    <row r="44" spans="1:4" ht="13.5">
      <c r="A44" s="1" t="s">
        <v>174</v>
      </c>
      <c r="B44" s="19" t="s">
        <v>144</v>
      </c>
      <c r="C44" s="8"/>
      <c r="D44" s="8"/>
    </row>
    <row r="45" spans="1:4" ht="12.75">
      <c r="A45" s="1" t="s">
        <v>175</v>
      </c>
      <c r="B45" s="8" t="s">
        <v>176</v>
      </c>
      <c r="C45" s="8"/>
      <c r="D45" s="8"/>
    </row>
    <row r="46" spans="2:4" ht="12.75">
      <c r="B46" s="8"/>
      <c r="C46" s="8"/>
      <c r="D46" s="8"/>
    </row>
    <row r="47" spans="2:4" ht="12.75">
      <c r="B47" s="8"/>
      <c r="C47" s="8"/>
      <c r="D47" s="8"/>
    </row>
    <row r="48" spans="1:2" ht="13.5">
      <c r="A48" s="20" t="s">
        <v>133</v>
      </c>
      <c r="B48" s="20"/>
    </row>
    <row r="49" spans="1:2" ht="12.75">
      <c r="A49" s="3" t="s">
        <v>134</v>
      </c>
      <c r="B49" s="3"/>
    </row>
    <row r="50" spans="2:4" ht="12.75">
      <c r="B50" s="8"/>
      <c r="C50" s="8"/>
      <c r="D50" s="8"/>
    </row>
    <row r="51" spans="2:4" ht="12.75">
      <c r="B51" s="8"/>
      <c r="C51" s="8"/>
      <c r="D51" s="8"/>
    </row>
    <row r="52" spans="2:4" ht="12.75">
      <c r="B52" s="8"/>
      <c r="C52" s="8"/>
      <c r="D52" s="8"/>
    </row>
    <row r="53" spans="2:4" ht="12.75">
      <c r="B53" s="8"/>
      <c r="C53" s="8"/>
      <c r="D53" s="8"/>
    </row>
    <row r="54" spans="2:4" ht="12.75">
      <c r="B54" s="8"/>
      <c r="C54" s="8"/>
      <c r="D54" s="8"/>
    </row>
    <row r="55" spans="2:4" ht="12.75">
      <c r="B55" s="8"/>
      <c r="C55" s="8"/>
      <c r="D55" s="8"/>
    </row>
    <row r="56" spans="2:4" ht="12.75">
      <c r="B56" s="8"/>
      <c r="C56" s="8"/>
      <c r="D56" s="8"/>
    </row>
    <row r="59" ht="12.75">
      <c r="B59" s="10"/>
    </row>
    <row r="60" ht="12.75">
      <c r="B60" s="9"/>
    </row>
    <row r="61" ht="12.75">
      <c r="B61" s="10"/>
    </row>
    <row r="62" ht="12.75">
      <c r="B62" s="44"/>
    </row>
    <row r="63" ht="12.75">
      <c r="B63" s="8"/>
    </row>
    <row r="64" ht="12.75">
      <c r="B64" s="10"/>
    </row>
    <row r="65" ht="12.75">
      <c r="B65" s="8"/>
    </row>
    <row r="66" ht="12.75">
      <c r="B66" s="11"/>
    </row>
    <row r="67" ht="12.75">
      <c r="B67" s="8"/>
    </row>
    <row r="68" ht="12.75">
      <c r="B68" s="8"/>
    </row>
    <row r="69" ht="12.75">
      <c r="B69" s="16"/>
    </row>
    <row r="70" ht="12.75">
      <c r="B70" s="8"/>
    </row>
    <row r="71" ht="12.75">
      <c r="B71" s="16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45"/>
    </row>
    <row r="79" ht="12.75">
      <c r="B79" s="8"/>
    </row>
    <row r="80" ht="12.75">
      <c r="B80" s="8"/>
    </row>
    <row r="81" ht="12.75">
      <c r="B81" s="16"/>
    </row>
    <row r="82" ht="12.75">
      <c r="B82" s="8"/>
    </row>
    <row r="83" ht="12.75">
      <c r="B83" s="16"/>
    </row>
    <row r="84" ht="12.75">
      <c r="B84" s="8"/>
    </row>
    <row r="85" ht="12.75">
      <c r="B85" s="18"/>
    </row>
    <row r="86" ht="12.75">
      <c r="B86" s="8"/>
    </row>
    <row r="87" ht="12.75">
      <c r="B87" s="8"/>
    </row>
  </sheetData>
  <printOptions/>
  <pageMargins left="0.75" right="0.75" top="1" bottom="1" header="0.492125985" footer="0.49212598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DEMOFIN</dc:title>
  <dc:subject/>
  <dc:creator>Luiz Antonio da Silva</dc:creator>
  <cp:keywords/>
  <dc:description/>
  <cp:lastModifiedBy>kayka</cp:lastModifiedBy>
  <cp:lastPrinted>2007-04-09T19:55:46Z</cp:lastPrinted>
  <dcterms:created xsi:type="dcterms:W3CDTF">1999-02-03T16:29:50Z</dcterms:created>
  <dcterms:modified xsi:type="dcterms:W3CDTF">2007-04-09T19:55:48Z</dcterms:modified>
  <cp:category/>
  <cp:version/>
  <cp:contentType/>
  <cp:contentStatus/>
</cp:coreProperties>
</file>